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rvg8cOjtmdU8r+G5zmq9xgQGFCsoSSuLtqIdvhzlGhKoB0M1Gg+vbEzN2TsGCA0D1XccGCfWAvemNs9p218BXQ==" workbookSaltValue="MtRO4tgDoIq2XvVAi9G+Ew==" workbookSpinCount="100000" lockStructure="1"/>
  <bookViews>
    <workbookView xWindow="-108" yWindow="-108" windowWidth="23256"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c r="B56" i="6"/>
  <c r="G56" i="6"/>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15" i="5"/>
  <c r="G21" i="6"/>
  <c r="B84" i="4"/>
  <c r="P35" i="4"/>
  <c r="P34" i="4"/>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s="1"/>
  <c r="B46" i="6"/>
  <c r="G46" i="6"/>
  <c r="B45" i="6"/>
  <c r="G45" i="6"/>
  <c r="B44" i="6"/>
  <c r="G44" i="6"/>
  <c r="B43" i="6"/>
  <c r="G43" i="6" s="1"/>
  <c r="B41" i="6"/>
  <c r="G41" i="6"/>
  <c r="B40" i="6"/>
  <c r="G40" i="6"/>
  <c r="H40" i="6" s="1"/>
  <c r="D40" i="6" s="1"/>
  <c r="B39" i="6"/>
  <c r="G39" i="6"/>
  <c r="B38" i="6"/>
  <c r="G38" i="6"/>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H23" i="6" s="1"/>
  <c r="D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F1380" i="5"/>
  <c r="G1340" i="5"/>
  <c r="E2092" i="5"/>
  <c r="X2092" i="5" s="1"/>
  <c r="J1841" i="5"/>
  <c r="J2441" i="5"/>
  <c r="R2145" i="5"/>
  <c r="H2084" i="5"/>
  <c r="I2420" i="5"/>
  <c r="F765" i="5"/>
  <c r="I1253" i="5"/>
  <c r="E1420" i="5"/>
  <c r="X1420" i="5" s="1"/>
  <c r="E2100" i="5"/>
  <c r="X2100" i="5" s="1"/>
  <c r="R2468" i="5"/>
  <c r="R1252" i="5"/>
  <c r="E2420" i="5"/>
  <c r="X2420" i="5" s="1"/>
  <c r="H1084" i="5"/>
  <c r="G2145" i="5"/>
  <c r="H2145" i="5"/>
  <c r="J1236" i="5"/>
  <c r="H2100" i="5"/>
  <c r="E2441" i="5"/>
  <c r="X2441" i="5" s="1"/>
  <c r="E1788" i="5"/>
  <c r="X1788" i="5" s="1"/>
  <c r="H2420" i="5"/>
  <c r="H213" i="5"/>
  <c r="H1180" i="5"/>
  <c r="F1820" i="5"/>
  <c r="F2100" i="5"/>
  <c r="H2468" i="5"/>
  <c r="A29" i="6"/>
  <c r="G21" i="5"/>
  <c r="AB15" i="5"/>
  <c r="AB16" i="5"/>
  <c r="V15" i="5"/>
  <c r="F15" i="5"/>
  <c r="V16"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93" i="5"/>
  <c r="J15" i="5"/>
  <c r="E16" i="5"/>
  <c r="X16" i="5" s="1"/>
  <c r="J16" i="5"/>
  <c r="S69" i="5"/>
  <c r="S61" i="5"/>
  <c r="S45" i="5"/>
  <c r="S17" i="5"/>
  <c r="T15" i="5"/>
  <c r="S37" i="5"/>
  <c r="S21" i="5"/>
  <c r="T16" i="5"/>
  <c r="H63" i="6"/>
  <c r="S15" i="5"/>
  <c r="S16"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G63" i="6"/>
  <c r="AB2498" i="5"/>
  <c r="G64" i="6"/>
  <c r="H21" i="6"/>
  <c r="D21" i="6" s="1"/>
  <c r="G5" i="6"/>
  <c r="H5" i="6" s="1"/>
  <c r="D5" i="6" s="1"/>
  <c r="H16" i="5"/>
  <c r="R16"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I16"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H61" i="6" s="1"/>
  <c r="F28" i="6"/>
  <c r="F38" i="6"/>
  <c r="H38" i="6" s="1"/>
  <c r="H28" i="6" l="1"/>
  <c r="D28" i="6" s="1"/>
  <c r="C2" i="6"/>
  <c r="H60" i="6"/>
  <c r="D60" i="6" s="1"/>
  <c r="C60" i="6"/>
  <c r="H62" i="6"/>
  <c r="D62" i="6" s="1"/>
  <c r="H53" i="6"/>
  <c r="D53" i="6" s="1"/>
  <c r="H43" i="6"/>
  <c r="D43" i="6" s="1"/>
  <c r="H33" i="6"/>
  <c r="D33" i="6" s="1"/>
  <c r="C13" i="6"/>
  <c r="C12" i="6"/>
  <c r="C11" i="6"/>
  <c r="C10" i="6"/>
  <c r="C9" i="6"/>
  <c r="C7" i="6"/>
  <c r="C8"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F54" i="6"/>
  <c r="H54" i="6" s="1"/>
  <c r="F64" i="6"/>
  <c r="F55" i="6"/>
  <c r="H55" i="6" s="1"/>
  <c r="D55" i="6" s="1"/>
  <c r="F58" i="6"/>
  <c r="H58" i="6" s="1"/>
  <c r="F56" i="6"/>
  <c r="H56" i="6" s="1"/>
  <c r="D43" i="4"/>
  <c r="D55" i="4"/>
  <c r="D61" i="4"/>
  <c r="C61" i="6"/>
  <c r="D61" i="6"/>
  <c r="K61" i="6"/>
  <c r="C28" i="6"/>
  <c r="G68" i="4"/>
  <c r="G37" i="4"/>
  <c r="G55" i="4"/>
  <c r="G49" i="4"/>
  <c r="G65" i="6"/>
  <c r="H65" i="6" s="1"/>
  <c r="D31" i="4"/>
  <c r="B59" i="4"/>
  <c r="A41" i="6" s="1"/>
  <c r="B47" i="4"/>
  <c r="A31" i="6" s="1"/>
  <c r="D68" i="4"/>
  <c r="B62" i="4"/>
  <c r="A43" i="6" s="1"/>
  <c r="B50" i="4"/>
  <c r="A33" i="6" s="1"/>
  <c r="B44" i="4"/>
  <c r="A28" i="6" s="1"/>
  <c r="B74" i="4"/>
  <c r="A53" i="6" s="1"/>
  <c r="D49" i="4"/>
  <c r="G61" i="4"/>
  <c r="C53" i="6" l="1"/>
  <c r="C33" i="6"/>
  <c r="C43" i="6"/>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authors>
    <author>Connors, Jared M</author>
  </authors>
  <commentList>
    <comment ref="J13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<sst xmlns="http://schemas.openxmlformats.org/spreadsheetml/2006/main" count="16796" uniqueCount="14432">
  <si>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</si>
  <si>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</si>
  <si>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</si>
  <si>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</si>
  <si>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</si>
  <si>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</si>
  <si>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</si>
  <si>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</si>
  <si>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</si>
  <si>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</si>
  <si>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</si>
  <si>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</si>
  <si>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</si>
  <si>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</si>
  <si>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</si>
  <si>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</si>
  <si>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</si>
  <si>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</si>
  <si>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</si>
  <si>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</si>
  <si>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</si>
  <si>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</si>
  <si>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</si>
  <si>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</si>
  <si>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</si>
  <si>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</si>
  <si>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</si>
  <si>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</si>
  <si>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</si>
  <si>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</si>
  <si>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</si>
  <si>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</si>
  <si>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</si>
  <si>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</si>
  <si>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</si>
  <si>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</si>
  <si>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</si>
  <si>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</si>
  <si>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</si>
  <si>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</si>
  <si>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</si>
  <si>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</si>
  <si>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</si>
  <si>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</si>
  <si>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</si>
  <si>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</si>
  <si>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</si>
  <si>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</si>
  <si>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</si>
  <si>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</si>
  <si>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</si>
  <si>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</si>
  <si>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</si>
  <si>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</si>
  <si>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</si>
  <si>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</si>
  <si>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</si>
  <si>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</si>
  <si>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</si>
  <si>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</si>
  <si>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</si>
  <si>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</si>
  <si>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</si>
  <si>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</si>
  <si>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</si>
  <si>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</si>
  <si>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</si>
  <si>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</si>
  <si>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</si>
  <si>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</si>
  <si>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</si>
  <si>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</si>
  <si>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</si>
  <si>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</si>
  <si>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</si>
  <si>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</si>
  <si>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</si>
  <si>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</si>
  <si>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</si>
  <si>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</si>
  <si>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</si>
  <si>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</si>
  <si>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</si>
  <si>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</si>
  <si>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</si>
  <si>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</si>
  <si>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</si>
  <si>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</si>
  <si>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</si>
  <si>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</si>
  <si>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</si>
  <si>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</si>
  <si>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</si>
  <si>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</si>
  <si>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</si>
  <si>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</si>
  <si>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</si>
  <si>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</si>
  <si>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</si>
  <si>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</si>
  <si>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</si>
  <si>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</si>
  <si>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</si>
  <si>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</si>
  <si>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</si>
  <si>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</si>
  <si>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</si>
  <si>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</si>
  <si>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</si>
  <si>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</si>
  <si>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</si>
  <si>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</si>
  <si>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</si>
  <si>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</si>
  <si>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</si>
  <si>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</si>
  <si>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</si>
  <si>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</si>
  <si>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</si>
  <si>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</si>
  <si>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</si>
  <si>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</si>
  <si>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</si>
  <si>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</si>
  <si>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</si>
  <si>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</si>
  <si>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</si>
  <si>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</si>
  <si>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</si>
  <si>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</si>
  <si>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</si>
  <si>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</si>
  <si>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</si>
  <si>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</si>
  <si>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</si>
  <si>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</si>
  <si>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</si>
  <si>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</si>
  <si>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</si>
  <si>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</si>
  <si>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</si>
  <si>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</si>
  <si>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</si>
  <si>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</si>
  <si>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</si>
  <si>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</si>
  <si>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</si>
  <si>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</si>
  <si>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</si>
  <si>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</si>
  <si>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</si>
  <si>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</si>
  <si>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</si>
  <si>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</si>
  <si>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</si>
  <si>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</si>
  <si>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</si>
  <si>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</si>
  <si>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</si>
  <si>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</si>
  <si>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</si>
  <si>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</si>
  <si>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</si>
  <si>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</si>
  <si>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</si>
  <si>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</si>
  <si>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</si>
  <si>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</si>
  <si>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</si>
  <si>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</si>
  <si>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</si>
  <si>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</si>
  <si>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</si>
  <si>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</si>
  <si>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</si>
  <si>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</si>
  <si>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</si>
  <si>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</si>
  <si>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</si>
  <si>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</si>
  <si>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</si>
  <si>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</si>
  <si>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</si>
  <si>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</si>
  <si>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</si>
  <si>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</si>
  <si>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</si>
  <si>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</si>
  <si>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</si>
  <si>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</si>
  <si>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</si>
  <si>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</si>
  <si>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</si>
  <si>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</si>
  <si>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</si>
  <si>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</si>
  <si>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</si>
  <si>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</si>
  <si>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</si>
  <si>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</si>
  <si>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</si>
  <si>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</si>
  <si>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</si>
  <si>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</si>
  <si>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</si>
  <si>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</si>
  <si>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</si>
  <si>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</si>
  <si>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</si>
  <si>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</si>
  <si>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</si>
  <si>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</si>
  <si>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</si>
  <si>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</si>
  <si>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</si>
  <si>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</si>
  <si>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</si>
  <si>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</si>
  <si>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</si>
  <si>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</si>
  <si>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</si>
  <si>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</si>
  <si>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</si>
  <si>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</si>
  <si>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</si>
  <si>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</si>
  <si>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</si>
  <si>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</si>
  <si>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</si>
  <si>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</si>
  <si>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</si>
  <si>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</si>
  <si>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</si>
  <si>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</si>
  <si>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</si>
  <si>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</si>
  <si>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</si>
  <si>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</si>
  <si>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</si>
  <si>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</si>
  <si>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</si>
  <si>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</si>
  <si>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</si>
  <si>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</si>
  <si>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</si>
  <si>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</si>
  <si>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</si>
  <si>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</si>
  <si>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</si>
  <si>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</si>
  <si>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</si>
  <si>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</si>
  <si>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</si>
  <si>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</si>
  <si>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</si>
  <si>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</si>
  <si>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</si>
  <si>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</si>
  <si>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</si>
  <si>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</si>
  <si>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</si>
  <si>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</si>
  <si>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</si>
  <si>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</si>
  <si>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</si>
  <si>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</si>
  <si>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</si>
  <si>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</si>
  <si>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</si>
  <si>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</si>
  <si>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</si>
  <si>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</si>
  <si>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</si>
  <si>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</si>
  <si>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</si>
  <si>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</si>
  <si>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</si>
  <si>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</si>
  <si>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</si>
  <si>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</si>
  <si>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</si>
  <si>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</si>
  <si>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</si>
  <si>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</si>
  <si>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</si>
  <si>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</si>
  <si>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</si>
  <si>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</si>
  <si>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</si>
  <si>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</si>
  <si>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</si>
  <si>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</si>
  <si>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</si>
  <si>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</si>
  <si>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</si>
  <si>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</si>
  <si>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</si>
  <si>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</si>
  <si>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</si>
  <si>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</si>
  <si>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</si>
  <si>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</si>
  <si>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</si>
  <si>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</si>
  <si>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</si>
  <si>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</si>
  <si>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</si>
  <si>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</si>
  <si>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</si>
  <si>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</si>
  <si>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</si>
  <si>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</si>
  <si>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</si>
  <si>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</si>
  <si>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</si>
  <si>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</si>
  <si>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</si>
  <si>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</si>
  <si>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</si>
  <si>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</si>
  <si>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</si>
  <si>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</si>
  <si>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</si>
  <si>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</si>
  <si>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</si>
  <si>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</si>
  <si>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</si>
  <si>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</si>
  <si>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</si>
  <si>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</si>
  <si>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</si>
  <si>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</si>
  <si>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</si>
  <si>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</si>
  <si>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</si>
  <si>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</si>
  <si>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</si>
  <si>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</si>
  <si>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</si>
  <si>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</si>
  <si>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</si>
  <si>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</si>
  <si>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</si>
  <si>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</si>
  <si>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</si>
  <si>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</si>
  <si>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</si>
  <si>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</si>
  <si>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</si>
  <si>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</si>
  <si>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</si>
  <si>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</si>
  <si>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</si>
  <si>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</si>
  <si>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</si>
  <si>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</si>
  <si>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</si>
  <si>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</si>
  <si>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</si>
  <si>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</si>
  <si>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</si>
  <si>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</si>
  <si>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</si>
  <si>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</si>
  <si>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</si>
  <si>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</si>
  <si>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</si>
  <si>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</si>
  <si>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</si>
  <si>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</si>
  <si>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</si>
  <si>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</si>
  <si>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</si>
  <si>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</si>
  <si>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</si>
  <si>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</si>
  <si>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</si>
  <si>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</si>
  <si>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</si>
  <si>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</si>
  <si>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</si>
  <si>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</si>
  <si>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</si>
  <si>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</si>
  <si>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</si>
  <si>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</si>
  <si>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</si>
  <si>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</si>
  <si>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</si>
  <si>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</si>
  <si>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</si>
  <si>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</si>
  <si>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</si>
  <si>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</si>
  <si>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</si>
  <si>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</si>
  <si>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</si>
  <si>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</si>
  <si>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</si>
  <si>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</si>
  <si>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</si>
  <si>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</si>
  <si>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</si>
  <si>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</si>
  <si>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</si>
  <si>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</si>
  <si>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</si>
  <si>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</si>
  <si>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</si>
  <si>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</si>
  <si>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</si>
  <si>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</si>
  <si>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</si>
  <si>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</si>
  <si>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</si>
  <si>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</si>
  <si>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</si>
  <si>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</si>
  <si>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</si>
  <si>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</si>
  <si>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</si>
  <si>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</si>
  <si>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</si>
  <si>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</si>
  <si>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</si>
  <si>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</si>
  <si>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</si>
  <si>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</si>
  <si>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</si>
  <si>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</si>
  <si>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</si>
  <si>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</si>
  <si>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</si>
  <si>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</si>
  <si>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</si>
  <si>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</si>
  <si>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</si>
  <si>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</si>
  <si>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</si>
  <si>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</si>
  <si>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</si>
  <si>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</si>
  <si>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</si>
  <si>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</si>
  <si>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</si>
  <si>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</si>
  <si>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</si>
  <si>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</si>
  <si>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</si>
  <si>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</si>
  <si>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</si>
  <si>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</si>
  <si>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</si>
  <si>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</si>
  <si>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</si>
  <si>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</si>
  <si>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</si>
  <si>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</si>
  <si>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</si>
  <si>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</si>
  <si>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</si>
  <si>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</si>
  <si>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</si>
  <si>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</si>
  <si>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</si>
  <si>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</si>
  <si>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</si>
  <si>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</si>
  <si>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</si>
  <si>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</si>
  <si>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</si>
  <si>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</si>
  <si>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</si>
  <si>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</si>
  <si>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</si>
  <si>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</si>
  <si>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</si>
  <si>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</si>
  <si>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</si>
  <si>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</si>
  <si>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</si>
  <si>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</si>
  <si>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</si>
  <si>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</si>
  <si>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</si>
  <si>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</si>
  <si>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</si>
  <si>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</si>
  <si>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</si>
  <si>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</si>
  <si>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</si>
  <si>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</si>
  <si>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</si>
  <si>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</si>
  <si>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</si>
  <si>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</si>
  <si>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</si>
  <si>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</si>
  <si>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</si>
  <si>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</si>
  <si>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</si>
  <si>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</si>
  <si>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</si>
  <si>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</si>
  <si>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</si>
  <si>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</si>
  <si>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</si>
  <si>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</si>
  <si>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</si>
  <si>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</si>
  <si>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</si>
  <si>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</si>
  <si>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</si>
  <si>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</si>
  <si>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</si>
  <si>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</si>
  <si>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</si>
  <si>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</si>
  <si>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</si>
  <si>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</si>
  <si>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</si>
  <si>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</si>
  <si>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</si>
  <si>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</si>
  <si>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</si>
  <si>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</si>
  <si>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</si>
  <si>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</si>
  <si>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</si>
  <si>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</si>
  <si>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</si>
  <si>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</si>
  <si>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</si>
  <si>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</si>
  <si>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</si>
  <si>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</si>
  <si>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</si>
  <si>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</si>
  <si>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</si>
  <si>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</si>
  <si>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</si>
  <si>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</si>
  <si>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</si>
  <si>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</si>
  <si>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</si>
  <si>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</si>
  <si>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</si>
  <si>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</si>
  <si>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</si>
  <si>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</si>
  <si>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</si>
  <si>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</si>
  <si>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</si>
  <si>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</si>
  <si>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</si>
  <si>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</si>
  <si>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</si>
  <si>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</si>
  <si>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</si>
  <si>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</si>
  <si>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</si>
  <si>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</si>
  <si>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</si>
  <si>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</si>
  <si>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</si>
  <si>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</si>
  <si>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</si>
  <si>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</si>
  <si>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</si>
  <si>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</si>
  <si>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</si>
  <si>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</si>
  <si>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</si>
  <si>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</si>
  <si>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</si>
  <si>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</si>
  <si>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</si>
  <si>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</si>
  <si>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</si>
  <si>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</si>
  <si>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</si>
  <si>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</si>
  <si>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</si>
  <si>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</si>
  <si>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</si>
  <si>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</si>
  <si>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</si>
  <si>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</si>
  <si>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</si>
  <si>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</si>
  <si>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</si>
  <si>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</si>
  <si>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</si>
  <si>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</si>
  <si>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</si>
  <si>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</si>
  <si>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</si>
  <si>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</si>
  <si>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</si>
  <si>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</si>
  <si>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</si>
  <si>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</si>
  <si>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</si>
  <si>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</si>
  <si>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</si>
  <si>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</si>
  <si>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</si>
  <si>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</si>
  <si>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</si>
  <si>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</si>
  <si>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</si>
  <si>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</si>
  <si>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</si>
  <si>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</si>
  <si>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</si>
  <si>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</si>
  <si>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</si>
  <si>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</si>
  <si>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</si>
  <si>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</si>
  <si>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</si>
  <si>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</si>
  <si>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</si>
  <si>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</si>
  <si>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</si>
  <si>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</si>
  <si>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</si>
  <si>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</si>
  <si>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</si>
  <si>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</si>
  <si>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</si>
  <si>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</si>
  <si>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</si>
  <si>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</si>
  <si>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</si>
  <si>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</si>
  <si>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</si>
  <si>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</si>
  <si>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</si>
  <si>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</si>
  <si>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</si>
  <si>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</si>
  <si>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</si>
  <si>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</si>
  <si>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</si>
  <si>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</si>
  <si>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</si>
  <si>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</si>
  <si>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</si>
  <si>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</si>
  <si>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</si>
  <si>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</si>
  <si>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</si>
  <si>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</si>
  <si>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</si>
  <si>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</si>
  <si>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</si>
  <si>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</si>
  <si>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</si>
  <si>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</si>
  <si>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</si>
  <si>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</si>
  <si>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</si>
  <si>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</si>
  <si>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</si>
  <si>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</si>
  <si>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</si>
  <si>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</si>
  <si>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</si>
  <si>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</si>
  <si>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</si>
  <si>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</si>
  <si>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</si>
  <si>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</si>
  <si>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</si>
  <si>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</si>
  <si>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</si>
  <si>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</si>
  <si>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</si>
  <si>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</si>
  <si>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</si>
  <si>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</si>
  <si>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</si>
  <si>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</si>
  <si>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</si>
  <si>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</si>
  <si>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</si>
  <si>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</si>
  <si>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</si>
  <si>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</si>
  <si>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</si>
  <si>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</si>
  <si>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</si>
  <si>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</si>
  <si>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</si>
  <si>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</si>
  <si>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</si>
  <si>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</si>
  <si>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</si>
  <si>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</si>
  <si>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</si>
  <si>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</si>
  <si>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</si>
  <si>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</si>
  <si>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</si>
  <si>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</si>
  <si>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</si>
  <si>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</si>
  <si>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</si>
  <si>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</si>
  <si>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</si>
  <si>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</si>
  <si>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</si>
  <si>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</si>
  <si>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</si>
  <si>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</si>
  <si>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</si>
  <si>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</si>
  <si>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</si>
  <si>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</si>
  <si>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</si>
  <si>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</si>
  <si>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</si>
  <si>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</si>
  <si>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</si>
  <si>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</si>
  <si>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</si>
  <si>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</si>
  <si>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</si>
  <si>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</si>
  <si>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</si>
  <si>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</si>
  <si>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</si>
  <si>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</si>
  <si>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</si>
  <si>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</si>
  <si>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</si>
  <si>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</si>
  <si>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</si>
  <si>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</si>
  <si>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</si>
  <si>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</si>
  <si>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</si>
  <si>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</si>
  <si>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</si>
  <si>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</si>
  <si>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</si>
  <si>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</si>
  <si>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</si>
  <si>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</si>
  <si>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</si>
  <si>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</si>
  <si>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</si>
  <si>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</si>
  <si>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</si>
  <si>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</si>
  <si>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</si>
  <si>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</si>
  <si>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</si>
  <si>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</si>
  <si>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</si>
  <si>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</si>
  <si>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</si>
  <si>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</si>
  <si>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</si>
  <si>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</si>
  <si>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</si>
  <si>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</si>
  <si>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</si>
  <si>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</si>
  <si>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</si>
  <si>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</si>
  <si>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</si>
  <si>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</si>
  <si>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</si>
  <si>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</si>
  <si>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</si>
  <si>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</si>
  <si>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</si>
  <si>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</si>
  <si>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</si>
  <si>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</si>
  <si>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</si>
  <si>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</si>
  <si>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</si>
  <si>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</si>
  <si>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</si>
  <si>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</si>
  <si>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</si>
  <si>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</si>
  <si>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</si>
  <si>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</si>
  <si>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</si>
  <si>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</si>
  <si>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</si>
  <si>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</si>
  <si>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</si>
  <si>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</si>
  <si>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</si>
  <si>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</si>
  <si>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</si>
  <si>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</si>
  <si>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</si>
  <si>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</si>
  <si>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</si>
  <si>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</si>
  <si>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</si>
  <si>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</si>
  <si>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</si>
  <si>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</si>
  <si>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</si>
  <si>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</si>
  <si>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</si>
  <si>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</si>
  <si>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</si>
  <si>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</si>
  <si>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</si>
  <si>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</si>
  <si>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</si>
  <si>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</si>
  <si>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</si>
  <si>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</si>
  <si>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</si>
  <si>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</si>
  <si>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</si>
  <si>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</si>
  <si>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</si>
  <si>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</si>
  <si>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</si>
  <si>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</si>
  <si>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</si>
  <si>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</si>
  <si>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</si>
  <si>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</si>
  <si>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</si>
  <si>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</si>
  <si>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</si>
  <si>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</si>
  <si>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</si>
  <si>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</si>
  <si>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</si>
  <si>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</si>
  <si>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</si>
  <si>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</si>
  <si>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</si>
  <si>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</si>
  <si>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</si>
  <si>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</si>
  <si>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</si>
  <si>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</si>
  <si>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</si>
  <si>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</si>
  <si>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</si>
  <si>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</si>
  <si>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</si>
  <si>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</si>
  <si>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</si>
  <si>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</si>
  <si>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</si>
  <si>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</si>
  <si>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</si>
  <si>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</si>
  <si>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</si>
  <si>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</si>
  <si>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</si>
  <si>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</si>
  <si>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</si>
  <si>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</si>
  <si>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</si>
  <si>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</si>
  <si>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</si>
  <si>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</si>
  <si>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</si>
  <si>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</si>
  <si>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</si>
  <si>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</si>
  <si>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</si>
  <si>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</si>
  <si>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</si>
  <si>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</si>
  <si>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</si>
  <si>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</si>
  <si>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</si>
  <si>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</si>
  <si>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</si>
  <si>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</si>
  <si>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</si>
  <si>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</si>
  <si>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</si>
  <si>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</si>
  <si>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</si>
  <si>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</si>
  <si>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</si>
  <si>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</si>
  <si>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</si>
  <si>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</si>
  <si>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</si>
  <si>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</si>
  <si>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</si>
  <si>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</si>
  <si>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</si>
  <si>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</si>
  <si>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</si>
  <si>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</si>
  <si>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</si>
  <si>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</si>
  <si>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</si>
  <si>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</si>
  <si>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</si>
  <si>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</si>
  <si>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</si>
  <si>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</si>
  <si>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</si>
  <si>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</si>
  <si>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</si>
  <si>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</si>
  <si>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</si>
  <si>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</si>
  <si>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</si>
  <si>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</si>
  <si>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</si>
  <si>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</si>
  <si>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</si>
  <si>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</si>
  <si>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</si>
  <si>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</si>
  <si>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</si>
  <si>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</si>
  <si>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</si>
  <si>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</si>
  <si>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</si>
  <si>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</si>
  <si>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</si>
  <si>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</si>
  <si>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</si>
  <si>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</si>
  <si>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</si>
  <si>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</si>
  <si>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</si>
  <si>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</si>
  <si>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</si>
  <si>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</si>
  <si>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</si>
  <si>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</si>
  <si>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</si>
  <si>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</si>
  <si>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</si>
  <si>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</si>
  <si>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</si>
  <si>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</si>
  <si>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</si>
  <si>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</si>
  <si>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</si>
  <si>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</si>
  <si>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</si>
  <si>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</si>
  <si>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</si>
  <si>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</si>
  <si>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</si>
  <si>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</si>
  <si>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</si>
  <si>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</si>
  <si>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</si>
  <si>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</si>
  <si>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</si>
  <si>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</si>
  <si>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</si>
  <si>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</si>
  <si>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</si>
  <si>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</si>
  <si>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</si>
  <si>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</si>
  <si>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</si>
  <si>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</si>
  <si>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</si>
  <si>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</si>
  <si>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</si>
  <si>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</si>
  <si>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</si>
  <si>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</si>
  <si>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</si>
  <si>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</si>
  <si>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</si>
  <si>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</si>
  <si>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</si>
  <si>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</si>
  <si>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</si>
  <si>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</si>
  <si>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</si>
  <si>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</si>
  <si>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</si>
  <si>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</si>
  <si>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</si>
  <si>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</si>
  <si>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</si>
  <si>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</si>
  <si>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</si>
  <si>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</si>
  <si>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</si>
  <si>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</si>
  <si>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</si>
  <si>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</si>
  <si>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</si>
  <si>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</si>
  <si>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</si>
  <si>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</si>
  <si>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</si>
  <si>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</si>
  <si>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</si>
  <si>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</si>
  <si>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</si>
  <si>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</si>
  <si>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</si>
  <si>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</si>
  <si>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</si>
  <si>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</si>
  <si>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</si>
  <si>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</si>
  <si>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</si>
  <si>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</si>
  <si>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</si>
  <si>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</si>
  <si>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</si>
  <si>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</si>
  <si>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</si>
  <si>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</si>
  <si>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</si>
  <si>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</si>
  <si>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</si>
  <si>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</si>
  <si>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</si>
  <si>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</si>
  <si>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</si>
  <si>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</si>
  <si>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</si>
  <si>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</si>
  <si>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</si>
  <si>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</si>
  <si>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</si>
  <si>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</si>
  <si>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</si>
  <si>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</si>
  <si>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</si>
  <si>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</si>
  <si>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</si>
  <si>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</si>
  <si>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</si>
  <si>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</si>
  <si>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</si>
  <si>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</si>
  <si>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</si>
  <si>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</si>
  <si>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</si>
  <si>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</si>
  <si>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</si>
  <si>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</si>
  <si>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</si>
  <si>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</si>
  <si>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</si>
  <si>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</si>
  <si>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</si>
  <si>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</si>
  <si>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</si>
  <si>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</si>
  <si>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</si>
  <si>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</si>
  <si>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</si>
  <si>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</si>
  <si>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</si>
  <si>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</si>
  <si>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</si>
  <si>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</si>
  <si>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</si>
  <si>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</si>
  <si>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</si>
  <si>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</si>
  <si>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</si>
  <si>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</si>
  <si>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</si>
  <si>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</si>
  <si>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</si>
  <si>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</si>
  <si>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</si>
  <si>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</si>
  <si>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</si>
  <si>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</si>
  <si>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</si>
  <si>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</si>
  <si>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</si>
  <si>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</si>
  <si>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</si>
  <si>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</si>
  <si>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</si>
  <si>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</si>
  <si>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</si>
  <si>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</si>
  <si>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</si>
  <si>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</si>
  <si>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</si>
  <si>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</si>
  <si>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</si>
  <si>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</si>
  <si>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</si>
  <si>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</si>
  <si>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</si>
  <si>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</si>
  <si>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</si>
  <si>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</si>
  <si>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</si>
  <si>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</si>
  <si>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</si>
  <si>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</si>
  <si>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</si>
  <si>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</si>
  <si>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</si>
  <si>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</si>
  <si>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</si>
  <si>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</si>
  <si>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</si>
  <si>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</si>
  <si>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</si>
  <si>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</si>
  <si>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</si>
  <si>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</si>
  <si>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</si>
  <si>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</si>
  <si>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</si>
  <si>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</si>
  <si>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</si>
  <si>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</si>
  <si>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</si>
  <si>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</si>
  <si>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</si>
  <si>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</si>
  <si>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</si>
  <si>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</si>
  <si>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</si>
  <si>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</si>
  <si>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</si>
  <si>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</si>
  <si>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</si>
  <si>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</si>
  <si>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</si>
  <si>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</si>
  <si>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</si>
  <si>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</si>
  <si>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</si>
  <si>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</si>
  <si>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</si>
  <si>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</si>
  <si>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</si>
  <si>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</si>
  <si>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</si>
  <si>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</si>
  <si>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</si>
  <si>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</si>
  <si>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</si>
  <si>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</si>
  <si>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</si>
  <si>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</si>
  <si>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</si>
  <si>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</si>
  <si>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</si>
  <si>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</si>
  <si>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</si>
  <si>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</si>
  <si>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</si>
  <si>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</si>
  <si>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</si>
  <si>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</si>
  <si>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</si>
  <si>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</si>
  <si>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</si>
  <si>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</si>
  <si>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</si>
  <si>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</si>
  <si>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</si>
  <si>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</si>
  <si>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</si>
  <si>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</si>
  <si>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</si>
  <si>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</si>
  <si>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</si>
  <si>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</si>
  <si>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</si>
  <si>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</si>
  <si>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</si>
  <si>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</si>
  <si>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</si>
  <si>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</si>
  <si>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</si>
  <si>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</si>
  <si>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</si>
  <si>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</si>
  <si>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</si>
  <si>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</si>
  <si>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</si>
  <si>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</si>
  <si>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</si>
  <si>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</si>
  <si>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</si>
  <si>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</si>
  <si>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</si>
  <si>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</si>
  <si>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</si>
  <si>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</si>
  <si>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</si>
  <si>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</si>
  <si>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</si>
  <si>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</si>
  <si>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</si>
  <si>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</si>
  <si>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</si>
  <si>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</si>
  <si>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</si>
  <si>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</si>
  <si>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</si>
  <si>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</si>
  <si>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</si>
  <si>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</si>
  <si>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</si>
  <si>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</si>
  <si>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</si>
  <si>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</si>
  <si>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</si>
  <si>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</si>
  <si>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</si>
  <si>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</si>
  <si>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</si>
  <si>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</si>
  <si>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</si>
  <si>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</si>
  <si>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</si>
  <si>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</si>
  <si>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</si>
  <si>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</si>
  <si>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</si>
  <si>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</si>
  <si>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</si>
  <si>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</si>
  <si>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</si>
  <si>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</si>
  <si>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</si>
  <si>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</si>
  <si>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</si>
  <si>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</si>
  <si>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</si>
  <si>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</si>
  <si>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</si>
  <si>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</si>
  <si>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</si>
  <si>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</si>
  <si>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</si>
  <si>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</si>
  <si>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</si>
  <si>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</si>
  <si>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</si>
  <si>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</si>
  <si>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</si>
  <si>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</si>
  <si>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</si>
  <si>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</si>
  <si>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</si>
  <si>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</si>
  <si>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</si>
  <si>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</si>
  <si>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</si>
  <si>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</si>
  <si>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</si>
  <si>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</si>
  <si>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</si>
  <si>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</si>
  <si>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</si>
  <si>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</si>
  <si>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</si>
  <si>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</si>
  <si>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</si>
  <si>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</si>
  <si>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</si>
  <si>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</si>
  <si>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</si>
  <si>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</si>
  <si>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</si>
  <si>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</si>
  <si>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</si>
  <si>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</si>
  <si>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</si>
  <si>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</si>
  <si>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</si>
  <si>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</si>
  <si>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</si>
  <si>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</si>
  <si>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</si>
  <si>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</si>
  <si>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</si>
  <si>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</si>
  <si>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</si>
  <si>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</si>
  <si>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</si>
  <si>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</si>
  <si>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</si>
  <si>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</si>
  <si>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</si>
  <si>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</si>
  <si>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</si>
  <si>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</si>
  <si>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</si>
  <si>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</si>
  <si>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</si>
  <si>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</si>
  <si>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</si>
  <si>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</si>
  <si>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</si>
  <si>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</si>
  <si>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</si>
  <si>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</si>
  <si>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</si>
  <si>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</si>
  <si>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</si>
  <si>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</si>
  <si>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</si>
  <si>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</si>
  <si>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</si>
  <si>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</si>
  <si>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</si>
  <si>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</si>
  <si>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</si>
  <si>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</si>
  <si>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</si>
  <si>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</si>
  <si>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</si>
  <si>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</si>
  <si>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</si>
  <si>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</si>
  <si>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</si>
  <si>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</si>
  <si>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</si>
  <si>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</si>
  <si>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</si>
  <si>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</si>
  <si>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</si>
  <si>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</si>
  <si>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</si>
  <si>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</si>
  <si>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</si>
  <si>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</si>
  <si>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</si>
  <si>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</si>
  <si>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</si>
  <si>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</si>
  <si>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</si>
  <si>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</si>
  <si>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</si>
  <si>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</si>
  <si>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</si>
  <si>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</si>
  <si>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</si>
  <si>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</si>
  <si>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</si>
  <si>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</si>
  <si>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</si>
  <si>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</si>
  <si>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</si>
  <si>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</si>
  <si>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</si>
  <si>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</si>
  <si>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</si>
  <si>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</si>
  <si>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</si>
  <si>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</si>
  <si>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</si>
  <si>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</si>
  <si>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</si>
  <si>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</si>
  <si>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</si>
  <si>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</si>
  <si>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</si>
  <si>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</si>
  <si>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</si>
  <si>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</si>
  <si>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</si>
  <si>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</si>
  <si>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</si>
  <si>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</si>
  <si>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</si>
  <si>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</si>
  <si>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</si>
  <si>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</si>
  <si>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</si>
  <si>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</si>
  <si>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</si>
  <si>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</si>
  <si>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</si>
  <si>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</si>
  <si>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</si>
  <si>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</si>
  <si>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</si>
  <si>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</si>
  <si>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</si>
  <si>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</si>
  <si>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</si>
  <si>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</si>
  <si>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</si>
  <si>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</si>
  <si>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</si>
  <si>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</si>
  <si>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</si>
  <si>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</si>
  <si>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</si>
  <si>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</si>
  <si>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</si>
  <si>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</si>
  <si>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</si>
  <si>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</si>
  <si>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</si>
  <si>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</si>
  <si>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</si>
  <si>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</si>
  <si>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</si>
  <si>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</si>
  <si>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</si>
  <si>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</si>
  <si>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</si>
  <si>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</si>
  <si>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</si>
  <si>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</si>
  <si>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</si>
  <si>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</si>
  <si>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</si>
  <si>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</si>
  <si>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</si>
  <si>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</si>
  <si>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</si>
  <si>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</si>
  <si>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</si>
  <si>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</si>
  <si>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</si>
  <si>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</si>
  <si>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</si>
  <si>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</si>
  <si>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</si>
  <si>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</si>
  <si>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</si>
  <si>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</si>
  <si>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</si>
  <si>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</si>
  <si>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</si>
  <si>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</si>
  <si>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</si>
  <si>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</si>
  <si>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</si>
  <si>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</si>
  <si>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</si>
  <si>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</si>
  <si>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</si>
  <si>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</si>
  <si>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</si>
  <si>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</si>
  <si>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</si>
  <si>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</si>
  <si>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</si>
  <si>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</si>
  <si>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</si>
  <si>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</si>
  <si>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</si>
  <si>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</si>
  <si>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</si>
  <si>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</si>
  <si>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</si>
  <si>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</si>
  <si>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</si>
  <si>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</si>
  <si>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</si>
  <si>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</si>
  <si>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</si>
  <si>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</si>
  <si>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</si>
  <si>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</si>
  <si>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</si>
  <si>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</si>
  <si>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</si>
  <si>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</si>
  <si>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</si>
  <si>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</si>
  <si>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</si>
  <si>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</si>
  <si>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</si>
  <si>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</si>
  <si>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</si>
  <si>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</si>
  <si>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</si>
  <si>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</si>
  <si>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</si>
  <si>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</si>
  <si>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</si>
  <si>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</si>
  <si>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</si>
  <si>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</si>
  <si>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</si>
  <si>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</si>
  <si>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</si>
  <si>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</si>
  <si>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</si>
  <si>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</si>
  <si>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</si>
  <si>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</si>
  <si>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</si>
  <si>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</si>
  <si>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</si>
  <si>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</si>
  <si>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</si>
  <si>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</si>
  <si>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</si>
  <si>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</si>
  <si>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</si>
  <si>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</si>
  <si>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</si>
  <si>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</si>
  <si>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</si>
  <si>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</si>
  <si>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</si>
  <si>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</si>
  <si>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</si>
  <si>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</si>
  <si>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</si>
  <si>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</si>
  <si>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</si>
  <si>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</si>
  <si>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</si>
  <si>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</si>
  <si>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</si>
  <si>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</si>
  <si>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</si>
  <si>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</si>
  <si>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</si>
  <si>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</si>
  <si>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</si>
  <si>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</si>
  <si>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</si>
  <si>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</si>
  <si>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</si>
  <si>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</si>
  <si>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</si>
  <si>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</si>
  <si>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</si>
  <si>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</si>
  <si>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</si>
  <si>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</si>
  <si>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</si>
  <si>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</si>
  <si>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</si>
  <si>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</si>
  <si>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</si>
  <si>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</si>
  <si>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</si>
  <si>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</si>
  <si>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</si>
  <si>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</si>
  <si>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</si>
  <si>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</si>
  <si>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</si>
  <si>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</si>
  <si>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</si>
  <si>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</si>
  <si>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</si>
  <si>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</si>
  <si>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</si>
  <si>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</si>
  <si>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</si>
  <si>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</si>
  <si>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</si>
  <si>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</si>
  <si>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</si>
  <si>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</si>
  <si>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</si>
  <si>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</si>
  <si>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</si>
  <si>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</si>
  <si>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</si>
  <si>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</si>
  <si>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</si>
  <si>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</si>
  <si>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</si>
  <si>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</si>
  <si>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</si>
  <si>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</si>
  <si>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</si>
  <si>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</si>
  <si>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</si>
  <si>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</si>
  <si>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</si>
  <si>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</si>
  <si>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</si>
  <si>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</si>
  <si>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</si>
  <si>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</si>
  <si>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</si>
  <si>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</si>
  <si>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</si>
  <si>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</si>
  <si>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</si>
  <si>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</si>
  <si>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</si>
  <si>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</si>
  <si>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</si>
  <si>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</si>
  <si>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</si>
  <si>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</si>
  <si>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</si>
  <si>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</si>
  <si>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</si>
  <si>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</si>
  <si>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</si>
  <si>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</si>
  <si>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</si>
  <si>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</si>
  <si>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</si>
  <si>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</si>
  <si>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</si>
  <si>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</si>
  <si>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</si>
  <si>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</si>
  <si>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</si>
  <si>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</si>
  <si>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</si>
  <si>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</si>
  <si>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</si>
  <si>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</si>
  <si>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</si>
  <si>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</si>
  <si>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</si>
  <si>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</si>
  <si>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</si>
  <si>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</si>
  <si>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</si>
  <si>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</si>
  <si>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</si>
  <si>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</si>
  <si>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</si>
  <si>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</si>
  <si>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</si>
  <si>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</si>
  <si>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</si>
  <si>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</si>
  <si>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</si>
  <si>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</si>
  <si>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</si>
  <si>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</si>
  <si>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</si>
  <si>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</si>
  <si>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</si>
  <si>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</si>
  <si>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</si>
  <si>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</si>
  <si>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</si>
  <si>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</si>
  <si>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</si>
  <si>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</si>
  <si>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</si>
  <si>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</si>
  <si>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</si>
  <si>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</si>
  <si>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</si>
  <si>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</si>
  <si>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</si>
  <si>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</si>
  <si>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</si>
  <si>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</si>
  <si>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</si>
  <si>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</si>
  <si>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</si>
  <si>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</si>
  <si>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</si>
  <si>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</si>
  <si>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</si>
  <si>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</si>
  <si>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</si>
  <si>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</si>
  <si>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</si>
  <si>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</si>
  <si>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</si>
  <si>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</si>
  <si>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</si>
  <si>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</si>
  <si>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</si>
  <si>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</si>
  <si>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</si>
  <si>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</si>
  <si>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</si>
  <si>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</si>
  <si>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</si>
  <si>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</si>
  <si>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</si>
  <si>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</si>
  <si>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</si>
  <si>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</si>
  <si>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</si>
  <si>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</si>
  <si>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</si>
  <si>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</si>
  <si>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</si>
  <si>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</si>
  <si>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</si>
  <si>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</si>
  <si>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</si>
  <si>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</si>
  <si>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</si>
  <si>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</si>
  <si>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</si>
  <si>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</si>
  <si>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</si>
  <si>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</si>
  <si>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</si>
  <si>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</si>
  <si>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</si>
  <si>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</si>
  <si>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</si>
  <si>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</si>
  <si>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</si>
  <si>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</si>
  <si>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</si>
  <si>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</si>
  <si>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</si>
  <si>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</si>
  <si>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</si>
  <si>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</si>
  <si>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</si>
  <si>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</si>
  <si>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</si>
  <si>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</si>
  <si>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</si>
  <si>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</si>
  <si>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</si>
  <si>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</si>
  <si>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</si>
  <si>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</si>
  <si>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</si>
  <si>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</si>
  <si>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</si>
  <si>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</si>
  <si>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</si>
  <si>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</si>
  <si>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</si>
  <si>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</si>
  <si>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</si>
  <si>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</si>
  <si>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</si>
  <si>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</si>
  <si>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</si>
  <si>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</si>
  <si>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</si>
  <si>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</si>
  <si>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</si>
  <si>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</si>
  <si>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</si>
  <si>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</si>
  <si>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</si>
  <si>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</si>
  <si>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</si>
  <si>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</si>
  <si>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</si>
  <si>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</si>
  <si>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</si>
  <si>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</si>
  <si>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</si>
  <si>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</si>
  <si>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</si>
  <si>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</si>
  <si>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</si>
  <si>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</si>
  <si>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</si>
  <si>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</si>
  <si>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</si>
  <si>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</si>
  <si>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</si>
  <si>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</si>
  <si>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</si>
  <si>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</si>
  <si>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</si>
  <si>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</si>
  <si>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</si>
  <si>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</si>
  <si>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</si>
  <si>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</si>
  <si>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</si>
  <si>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</si>
  <si>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</si>
  <si>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</si>
  <si>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</si>
  <si>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</si>
  <si>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</si>
  <si>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</si>
  <si>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</si>
  <si>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</si>
  <si>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</si>
  <si>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</si>
  <si>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</si>
  <si>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</si>
  <si>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</si>
  <si>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</si>
  <si>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</si>
  <si>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</si>
  <si>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</si>
  <si>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</si>
  <si>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</si>
  <si>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</si>
  <si>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</si>
  <si>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</si>
  <si>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</si>
  <si>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</si>
  <si>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</si>
  <si>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</si>
  <si>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</si>
  <si>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</si>
  <si>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</si>
  <si>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</si>
  <si>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</si>
  <si>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</si>
  <si>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</si>
  <si>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</si>
  <si>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</si>
  <si>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</si>
  <si>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</si>
  <si>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</si>
  <si>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</si>
  <si>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</si>
  <si>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</si>
  <si>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</si>
  <si>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</si>
  <si>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</si>
  <si>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</si>
  <si>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</si>
  <si>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</si>
  <si>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</si>
  <si>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</si>
  <si>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</si>
  <si>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</si>
  <si>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</si>
  <si>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</si>
  <si>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</si>
  <si>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</si>
  <si>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</si>
  <si>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</si>
  <si>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</si>
  <si>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</si>
  <si>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</si>
  <si>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</si>
  <si>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</si>
  <si>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</si>
  <si>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</si>
  <si>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</si>
  <si>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</si>
  <si>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</si>
  <si>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</si>
  <si>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</si>
  <si>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</si>
  <si>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</si>
  <si>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</si>
  <si>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</si>
  <si>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</si>
  <si>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</si>
  <si>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</si>
  <si>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</si>
  <si>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</si>
  <si>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</si>
  <si>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</si>
  <si>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</si>
  <si>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</si>
  <si>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</si>
  <si>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</si>
  <si>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</si>
  <si>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</si>
  <si>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</si>
  <si>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</si>
  <si>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</si>
  <si>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</si>
  <si>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</si>
  <si>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</si>
  <si>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</si>
  <si>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</si>
  <si>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</si>
  <si>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</si>
  <si>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</si>
  <si>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</si>
  <si>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</si>
  <si>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</si>
  <si>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</si>
  <si>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</si>
  <si>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</si>
  <si>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</si>
  <si>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</si>
  <si>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</si>
  <si>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</si>
  <si>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</si>
  <si>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</si>
  <si>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</si>
  <si>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</si>
  <si>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</si>
  <si>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</si>
  <si>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</si>
  <si>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</si>
  <si>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</si>
  <si>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</si>
  <si>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</si>
  <si>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</si>
  <si>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</si>
  <si>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</si>
  <si>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</si>
  <si>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</si>
  <si>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</si>
  <si>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</si>
  <si>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</si>
  <si>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</si>
  <si>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</si>
  <si>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</si>
  <si>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</si>
  <si>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</si>
  <si>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</si>
  <si>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</si>
  <si>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</si>
  <si>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</si>
  <si>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</si>
  <si>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</si>
  <si>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</si>
  <si>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</si>
  <si>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</si>
  <si>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</si>
  <si>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</si>
  <si>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</si>
  <si>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</si>
  <si>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</si>
  <si>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</si>
  <si>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</si>
  <si>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</si>
  <si>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</si>
  <si>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</si>
  <si>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</si>
  <si>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</si>
  <si>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</si>
  <si>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</si>
  <si>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</si>
  <si>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</si>
  <si>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</si>
  <si>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</si>
  <si>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</si>
  <si>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</si>
  <si>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</si>
  <si>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</si>
  <si>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</si>
  <si>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</si>
  <si>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</si>
  <si>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</si>
  <si>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</si>
  <si>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</si>
  <si>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</si>
  <si>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</si>
  <si>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</si>
  <si>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</si>
  <si>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</si>
  <si>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</si>
  <si>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</si>
  <si>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</si>
  <si>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</si>
  <si>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</si>
  <si>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</si>
  <si>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</si>
  <si>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</si>
  <si>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</si>
  <si>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</si>
  <si>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</si>
  <si>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</si>
  <si>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</si>
  <si>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</si>
  <si>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</si>
  <si>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</si>
  <si>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</si>
  <si>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</si>
  <si>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</si>
  <si>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</si>
  <si>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</si>
  <si>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</si>
  <si>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</si>
  <si>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</si>
  <si>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</si>
  <si>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</si>
  <si>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</si>
  <si>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</si>
  <si>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</si>
  <si>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</si>
  <si>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</si>
  <si>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</si>
  <si>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</si>
  <si>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</si>
  <si>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</si>
  <si>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</si>
  <si>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</si>
  <si>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</si>
  <si>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</si>
  <si>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</si>
  <si>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</si>
  <si>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</si>
  <si>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</si>
  <si>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</si>
  <si>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</si>
  <si>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</si>
  <si>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</si>
  <si>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</si>
  <si>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</si>
  <si>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</si>
  <si>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</si>
  <si>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</si>
  <si>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</si>
  <si>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</si>
  <si>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</si>
  <si>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</si>
  <si>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</si>
  <si>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</si>
  <si>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</si>
  <si>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</si>
  <si>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</si>
  <si>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</si>
  <si>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</si>
  <si>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</si>
  <si>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</si>
  <si>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</si>
  <si>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</si>
  <si>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</si>
  <si>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</si>
  <si>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</si>
  <si>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</si>
  <si>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</si>
  <si>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</si>
  <si>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</si>
  <si>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</si>
  <si>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</si>
  <si>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</si>
  <si>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</si>
  <si>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</si>
  <si>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</si>
  <si>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</si>
  <si>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</si>
  <si>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</si>
  <si>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</si>
  <si>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</si>
  <si>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</si>
  <si>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</si>
  <si>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</si>
  <si>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</si>
  <si>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</si>
  <si>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</si>
  <si>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</si>
  <si>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</si>
  <si>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</si>
  <si>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</si>
  <si>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</si>
  <si>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</si>
  <si>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</si>
  <si>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</si>
  <si>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</si>
  <si>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</si>
  <si>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</si>
  <si>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</si>
  <si>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</si>
  <si>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</si>
  <si>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</si>
  <si>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</si>
  <si>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</si>
  <si>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</si>
  <si>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</si>
  <si>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</si>
  <si>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</si>
  <si>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</si>
  <si>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</si>
  <si>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</si>
  <si>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</si>
  <si>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</si>
  <si>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</si>
  <si>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</si>
  <si>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</si>
  <si>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</si>
  <si>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</si>
  <si>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</si>
  <si>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</si>
  <si>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</si>
  <si>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</si>
  <si>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</si>
  <si>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</si>
  <si>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</si>
  <si>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</si>
  <si>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</si>
  <si>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</si>
  <si>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</si>
  <si>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</si>
  <si>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</si>
  <si>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</si>
  <si>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</si>
  <si>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</si>
  <si>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</si>
  <si>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</si>
  <si>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</si>
  <si>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</si>
  <si>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</si>
  <si>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</si>
  <si>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</si>
  <si>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</si>
  <si>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</si>
  <si>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</si>
  <si>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</si>
  <si>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</si>
  <si>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</si>
  <si>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</si>
  <si>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</si>
  <si>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</si>
  <si>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</si>
  <si>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</si>
  <si>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</si>
  <si>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</si>
  <si>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</si>
  <si>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</si>
  <si>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</si>
  <si>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</si>
  <si>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</si>
  <si>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</si>
  <si>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</si>
  <si>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</si>
  <si>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</si>
  <si>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</si>
  <si>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</si>
  <si>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</si>
  <si>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</si>
  <si>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</si>
  <si>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</si>
  <si>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</si>
  <si>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</si>
  <si>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</si>
  <si>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</si>
  <si>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</si>
  <si>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</si>
  <si>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</si>
  <si>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</si>
  <si>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</si>
  <si>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</si>
  <si>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</si>
  <si>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</si>
  <si>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</si>
  <si>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</si>
  <si>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</si>
  <si>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</si>
  <si>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</si>
  <si>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</si>
  <si>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</si>
  <si>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</si>
  <si>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</si>
  <si>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</si>
  <si>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</si>
  <si>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</si>
  <si>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</si>
  <si>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</si>
  <si>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</si>
  <si>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</si>
  <si>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</si>
  <si>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</si>
  <si>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</si>
  <si>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</si>
  <si>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</si>
  <si>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</si>
  <si>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</si>
  <si>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</si>
  <si>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</si>
  <si>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</si>
  <si>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</si>
  <si>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</si>
  <si>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</si>
  <si>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</si>
  <si>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</si>
  <si>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</si>
  <si>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</si>
  <si>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</si>
  <si>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</si>
  <si>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</si>
  <si>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</si>
  <si>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</si>
  <si>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</si>
  <si>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</si>
  <si>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</si>
  <si>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</si>
  <si>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</si>
  <si>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</si>
  <si>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</si>
  <si>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</si>
  <si>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</si>
  <si>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</si>
  <si>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</si>
  <si>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</si>
  <si>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</si>
  <si>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</si>
  <si>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</si>
  <si>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</si>
  <si>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</si>
  <si>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</si>
  <si>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</si>
  <si>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</si>
  <si>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</si>
  <si>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</si>
  <si>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</si>
  <si>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</si>
  <si>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</si>
  <si>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</si>
  <si>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</si>
  <si>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</si>
  <si>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</si>
  <si>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</si>
  <si>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</si>
  <si>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</si>
  <si>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</si>
  <si>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</si>
  <si>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</si>
  <si>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</si>
  <si>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</si>
  <si>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</si>
  <si>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</si>
  <si>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</si>
  <si>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</si>
  <si>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</si>
  <si>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</si>
  <si>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</si>
  <si>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</si>
  <si>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</si>
  <si>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</si>
  <si>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</si>
  <si>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</si>
  <si>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</si>
  <si>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</si>
  <si>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</si>
  <si>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</si>
  <si>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</si>
  <si>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</si>
  <si>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</si>
  <si>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</si>
  <si>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</si>
  <si>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</si>
  <si>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</si>
  <si>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</si>
  <si>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</si>
  <si>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</si>
  <si>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</si>
  <si>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</si>
  <si>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</si>
  <si>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</si>
  <si>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</si>
  <si>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</si>
  <si>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</si>
  <si>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</si>
  <si>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</si>
  <si>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</si>
  <si>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</si>
  <si>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</si>
  <si>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</si>
  <si>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</si>
  <si>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</si>
  <si>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</si>
  <si>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</si>
  <si>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</si>
  <si>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</si>
  <si>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</si>
  <si>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</si>
  <si>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</si>
  <si>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</si>
  <si>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</si>
  <si>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</si>
  <si>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</si>
  <si>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</si>
  <si>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</si>
  <si>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</si>
  <si>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</si>
  <si>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</si>
  <si>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</si>
  <si>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</si>
  <si>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</si>
  <si>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</si>
  <si>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</si>
  <si>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</si>
  <si>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</si>
  <si>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</si>
  <si>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</si>
  <si>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</si>
  <si>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</si>
  <si>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</si>
  <si>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</si>
  <si>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</si>
  <si>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</si>
  <si>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</si>
  <si>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</si>
  <si>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</si>
  <si>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</si>
  <si>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</si>
  <si>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</si>
  <si>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</si>
  <si>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</si>
  <si>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</si>
  <si>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</si>
  <si>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</si>
  <si>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</si>
  <si>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</si>
  <si>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</si>
  <si>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</si>
  <si>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</si>
  <si>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</si>
  <si>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</si>
  <si>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</si>
  <si>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</si>
  <si>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</si>
  <si>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</si>
  <si>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</si>
  <si>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</si>
  <si>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</si>
  <si>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</si>
  <si>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</si>
  <si>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</si>
  <si>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</si>
  <si>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</si>
  <si>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</si>
  <si>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</si>
  <si>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</si>
  <si>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</si>
  <si>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</si>
  <si>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</si>
  <si>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</si>
  <si>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</si>
  <si>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</si>
  <si>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</si>
  <si>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</si>
  <si>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</si>
  <si>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</si>
  <si>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</si>
  <si>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</si>
  <si>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</si>
  <si>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</si>
  <si>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</si>
  <si>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</si>
  <si>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</si>
  <si>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</si>
  <si>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</si>
  <si>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</si>
  <si>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</si>
  <si>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</si>
  <si>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</si>
  <si>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</si>
  <si>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</si>
  <si>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</si>
  <si>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</si>
  <si>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</si>
  <si>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</si>
  <si>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</si>
  <si>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</si>
  <si>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</si>
  <si>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</si>
  <si>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</si>
  <si>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맑은 고딕"/>
        <family val="2"/>
        <scheme val="minor"/>
      </rPr>
      <t>A</t>
    </r>
    <r>
      <rPr>
        <sz val="11"/>
        <rFont val="SimSun"/>
        <family val="2"/>
      </rPr>
      <t xml:space="preserve"> 列输入号码（</t>
    </r>
    <r>
      <rPr>
        <sz val="11"/>
        <rFont val="맑은 고딕"/>
        <family val="2"/>
        <scheme val="minor"/>
      </rPr>
      <t>B、C、E、F、G、I</t>
    </r>
    <r>
      <rPr>
        <sz val="11"/>
        <rFont val="SimSun"/>
        <family val="2"/>
      </rPr>
      <t xml:space="preserve"> 和 </t>
    </r>
    <r>
      <rPr>
        <sz val="11"/>
        <rFont val="맑은 고딕"/>
        <family val="2"/>
        <scheme val="minor"/>
      </rPr>
      <t>J</t>
    </r>
    <r>
      <rPr>
        <sz val="11"/>
        <rFont val="SimSun"/>
        <family val="2"/>
      </rPr>
      <t xml:space="preserve"> 列将自动填入）。</t>
    </r>
    <r>
      <rPr>
        <sz val="11"/>
        <rFont val="맑은 고딕"/>
        <family val="2"/>
        <scheme val="minor"/>
      </rPr>
      <t>D</t>
    </r>
    <r>
      <rPr>
        <sz val="11"/>
        <rFont val="SimSun"/>
        <family val="2"/>
      </rPr>
      <t xml:space="preserve"> 列将变为灰色。
选项 </t>
    </r>
    <r>
      <rPr>
        <sz val="11"/>
        <rFont val="맑은 고딕"/>
        <family val="2"/>
        <scheme val="minor"/>
      </rPr>
      <t>B</t>
    </r>
    <r>
      <rPr>
        <sz val="11"/>
        <rFont val="SimSun"/>
        <family val="2"/>
      </rPr>
      <t xml:space="preserve">：如果您有金属和冶炼厂查找名称组合，则完成以下步骤：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 从 </t>
    </r>
    <r>
      <rPr>
        <sz val="11"/>
        <rFont val="맑은 고딕"/>
        <family val="2"/>
        <scheme val="minor"/>
      </rPr>
      <t>C</t>
    </r>
    <r>
      <rPr>
        <sz val="11"/>
        <rFont val="SimSun"/>
        <family val="2"/>
      </rPr>
      <t xml:space="preserve"> 列的下拉菜单中选择
选项 </t>
    </r>
    <r>
      <rPr>
        <sz val="11"/>
        <rFont val="맑은 고딕"/>
        <family val="2"/>
        <scheme val="minor"/>
      </rPr>
      <t>C</t>
    </r>
    <r>
      <rPr>
        <sz val="11"/>
        <rFont val="SimSun"/>
        <family val="2"/>
      </rPr>
      <t xml:space="preserve">：如果您有金属和冶炼厂名称组合，则完成以下步骤：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：在“冶炼厂查找”下拉菜单中选择“冶炼厂未列出”，然后填写 </t>
    </r>
    <r>
      <rPr>
        <sz val="11"/>
        <rFont val="맑은 고딕"/>
        <family val="2"/>
        <scheme val="minor"/>
      </rPr>
      <t>D</t>
    </r>
    <r>
      <rPr>
        <sz val="11"/>
        <rFont val="SimSun"/>
        <family val="2"/>
      </rPr>
      <t xml:space="preserve"> 和 </t>
    </r>
    <r>
      <rPr>
        <sz val="11"/>
        <rFont val="맑은 고딕"/>
        <family val="2"/>
        <scheme val="minor"/>
      </rPr>
      <t>E</t>
    </r>
    <r>
      <rPr>
        <sz val="11"/>
        <rFont val="SimSun"/>
        <family val="2"/>
      </rPr>
      <t xml:space="preserve"> 列
步骤 </t>
    </r>
    <r>
      <rPr>
        <sz val="11"/>
        <rFont val="맑은 고딕"/>
        <family val="2"/>
        <scheme val="minor"/>
      </rPr>
      <t>3</t>
    </r>
    <r>
      <rPr>
        <sz val="11"/>
        <rFont val="SimSun"/>
        <family val="2"/>
      </rPr>
      <t xml:space="preserve">. 在 </t>
    </r>
    <r>
      <rPr>
        <sz val="11"/>
        <rFont val="맑은 고딕"/>
        <family val="2"/>
        <scheme val="minor"/>
      </rPr>
      <t>H</t>
    </r>
    <r>
      <rPr>
        <sz val="11"/>
        <rFont val="SimSun"/>
        <family val="2"/>
      </rPr>
      <t xml:space="preserve"> 列到 </t>
    </r>
    <r>
      <rPr>
        <sz val="11"/>
        <rFont val="맑은 고딕"/>
        <family val="2"/>
        <scheme val="minor"/>
      </rPr>
      <t>Q</t>
    </r>
    <r>
      <rPr>
        <sz val="11"/>
        <rFont val="SimSun"/>
        <family val="2"/>
      </rPr>
      <t xml:space="preserve"> 列输入所有现有的冶炼厂信息
(</t>
    </r>
    <r>
      <rPr>
        <sz val="11"/>
        <rFont val="맑은 고딕"/>
        <family val="2"/>
        <scheme val="minor"/>
      </rPr>
      <t>*</t>
    </r>
    <r>
      <rPr>
        <sz val="11"/>
        <rFont val="SimSun"/>
        <family val="2"/>
      </rPr>
      <t>) 必填字段以星号表示。
(</t>
    </r>
    <r>
      <rPr>
        <sz val="11"/>
        <rFont val="맑은 고딕"/>
        <family val="2"/>
        <scheme val="minor"/>
      </rPr>
      <t>1</t>
    </r>
    <r>
      <rPr>
        <sz val="11"/>
        <rFont val="SimSun"/>
        <family val="2"/>
      </rPr>
      <t xml:space="preserve">) 当“冶炼厂查找”=“冶炼厂未列出”时，需要输入
注：可结合使用选项 </t>
    </r>
    <r>
      <rPr>
        <sz val="11"/>
        <rFont val="맑은 고딕"/>
        <family val="2"/>
        <scheme val="minor"/>
      </rPr>
      <t>A、B</t>
    </r>
    <r>
      <rPr>
        <sz val="11"/>
        <rFont val="SimSun"/>
        <family val="2"/>
      </rPr>
      <t xml:space="preserve"> 和 </t>
    </r>
    <r>
      <rPr>
        <sz val="11"/>
        <rFont val="맑은 고딕"/>
        <family val="2"/>
        <scheme val="minor"/>
      </rPr>
      <t xml:space="preserve">C </t>
    </r>
    <r>
      <rPr>
        <sz val="11"/>
        <rFont val="SimSun"/>
        <family val="2"/>
      </rPr>
      <t xml:space="preserve">来填写冶炼厂目录。请勿更改自动填写的单元格。应通过联系 </t>
    </r>
    <r>
      <rPr>
        <sz val="11"/>
        <rFont val="맑은 고딕"/>
        <family val="2"/>
        <scheme val="minor"/>
      </rPr>
      <t>RMI@ResponsibleBusiness.org</t>
    </r>
    <r>
      <rPr>
        <sz val="11"/>
        <rFont val="SimSun"/>
        <family val="2"/>
      </rPr>
      <t xml:space="preserve">，向 </t>
    </r>
    <r>
      <rPr>
        <sz val="11"/>
        <rFont val="맑은 고딕"/>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</si>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</sst>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quot;$&quot;* #,##0_-;\-&quot;$&quot;* #,##0_-;_-&quot;$&quot;* &quot;-&quot;_-;_-@_-"/>
    <numFmt numFmtId="183" formatCode="_-&quot;$&quot;* #,##0.00_-;\-&quot;$&quot;* #,##0.00_-;_-&quot;$&quot;*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s>
  <fonts count="121">
    <font>
      <sz val="10"/>
      <name val="Verdana"/>
      <family val="2"/>
    </font>
    <font>
      <sz val="11"/>
      <color theme="1"/>
      <name val="맑은 고딕"/>
      <family val="2"/>
      <scheme val="minor"/>
    </font>
    <font>
      <sz val="11"/>
      <color theme="1"/>
      <name val="맑은 고딕"/>
      <family val="2"/>
      <scheme val="minor"/>
    </font>
    <font>
      <sz val="11"/>
      <color theme="1"/>
      <name val="맑은 고딕"/>
      <family val="2"/>
      <scheme val="minor"/>
    </font>
    <font>
      <sz val="10"/>
      <color theme="1"/>
      <name val="Arial"/>
      <family val="2"/>
    </font>
    <font>
      <sz val="11"/>
      <color theme="1"/>
      <name val="맑은 고딕"/>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맑은 고딕"/>
      <family val="2"/>
      <scheme val="minor"/>
    </font>
    <font>
      <sz val="11"/>
      <color rgb="FF9C0006"/>
      <name val="ＭＳ Ｐゴシック"/>
      <family val="3"/>
      <charset val="128"/>
    </font>
    <font>
      <sz val="11"/>
      <color rgb="FF9C0006"/>
      <name val="맑은 고딕"/>
      <family val="2"/>
      <scheme val="minor"/>
    </font>
    <font>
      <b/>
      <sz val="11"/>
      <color rgb="FFFA7D00"/>
      <name val="맑은 고딕"/>
      <family val="2"/>
      <scheme val="minor"/>
    </font>
    <font>
      <b/>
      <sz val="11"/>
      <color theme="0"/>
      <name val="맑은 고딕"/>
      <family val="2"/>
      <scheme val="minor"/>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ＭＳ Ｐゴシック"/>
      <family val="2"/>
      <charset val="128"/>
    </font>
    <font>
      <sz val="11"/>
      <color theme="1"/>
      <name val="ＭＳ Ｐゴシック"/>
      <family val="3"/>
      <charset val="128"/>
    </font>
    <font>
      <sz val="12"/>
      <color theme="1"/>
      <name val="맑은 고딕"/>
      <family val="2"/>
      <scheme val="minor"/>
    </font>
    <font>
      <b/>
      <sz val="11"/>
      <color rgb="FF3F3F3F"/>
      <name val="맑은 고딕"/>
      <family val="2"/>
      <scheme val="minor"/>
    </font>
    <font>
      <sz val="18"/>
      <color theme="3"/>
      <name val="맑은 고딕"/>
      <family val="2"/>
      <scheme val="major"/>
    </font>
    <font>
      <b/>
      <sz val="11"/>
      <color theme="1"/>
      <name val="맑은 고딕"/>
      <family val="2"/>
      <scheme val="minor"/>
    </font>
    <font>
      <sz val="11"/>
      <color rgb="FFFF0000"/>
      <name val="맑은 고딕"/>
      <family val="2"/>
      <scheme val="minor"/>
    </font>
    <font>
      <sz val="10"/>
      <color theme="1"/>
      <name val="Verdana"/>
      <family val="2"/>
    </font>
    <font>
      <sz val="10"/>
      <color theme="0" tint="-0.3498947111423078"/>
      <name val="Verdana"/>
      <family val="2"/>
    </font>
    <font>
      <sz val="11"/>
      <name val="맑은 고딕"/>
      <family val="2"/>
      <scheme val="minor"/>
    </font>
    <font>
      <sz val="10"/>
      <name val="맑은 고딕"/>
      <family val="1"/>
      <scheme val="major"/>
    </font>
    <font>
      <u/>
      <sz val="12"/>
      <color indexed="12"/>
      <name val="맑은 고딕"/>
      <family val="1"/>
      <scheme val="major"/>
    </font>
    <font>
      <sz val="12"/>
      <name val="맑은 고딕"/>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맑은 고딕"/>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맑은 고딕"/>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sz val="12"/>
      <name val="바탕"/>
      <family val="1"/>
      <charset val="129"/>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6" fontId="13" fillId="0" borderId="0" applyFont="0" applyFill="0" applyBorder="0" applyAlignment="0" applyProtection="0"/>
    <xf numFmtId="182"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4" fillId="0" borderId="0"/>
    <xf numFmtId="0" fontId="85" fillId="0" borderId="0"/>
    <xf numFmtId="0" fontId="85"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5" fillId="0" borderId="0"/>
    <xf numFmtId="0" fontId="5" fillId="0" borderId="0"/>
    <xf numFmtId="0" fontId="5" fillId="0" borderId="0"/>
    <xf numFmtId="180" fontId="10" fillId="0" borderId="0"/>
    <xf numFmtId="0" fontId="5" fillId="0" borderId="0"/>
    <xf numFmtId="0" fontId="10" fillId="0" borderId="0"/>
    <xf numFmtId="0" fontId="5" fillId="0" borderId="0"/>
    <xf numFmtId="0" fontId="69" fillId="0" borderId="0">
      <alignment vertical="center"/>
    </xf>
    <xf numFmtId="18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80" fontId="4" fillId="0" borderId="0"/>
    <xf numFmtId="18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3" fillId="0" borderId="0"/>
    <xf numFmtId="0" fontId="85" fillId="0" borderId="0"/>
    <xf numFmtId="0" fontId="85" fillId="0" borderId="0"/>
    <xf numFmtId="0" fontId="85" fillId="0" borderId="0"/>
    <xf numFmtId="18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8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8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8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9"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20"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강조색1" xfId="688" builtinId="30" customBuiltin="1"/>
    <cellStyle name="20% - 강조색2" xfId="692" builtinId="34" customBuiltin="1"/>
    <cellStyle name="20% - 강조색3" xfId="696" builtinId="38" customBuiltin="1"/>
    <cellStyle name="20% - 강조색4" xfId="700" builtinId="42" customBuiltin="1"/>
    <cellStyle name="20% - 강조색5" xfId="704" builtinId="46" customBuiltin="1"/>
    <cellStyle name="20% - 강조색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강조색1" xfId="689" builtinId="31" customBuiltin="1"/>
    <cellStyle name="40% - 강조색2" xfId="693" builtinId="35" customBuiltin="1"/>
    <cellStyle name="40% - 강조색3" xfId="697" builtinId="39" customBuiltin="1"/>
    <cellStyle name="40% - 강조색4" xfId="701" builtinId="43" customBuiltin="1"/>
    <cellStyle name="40% - 강조색5" xfId="705" builtinId="47" customBuiltin="1"/>
    <cellStyle name="40% - 강조색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강조색1" xfId="690" builtinId="32" customBuiltin="1"/>
    <cellStyle name="60% - 강조색2" xfId="694" builtinId="36" customBuiltin="1"/>
    <cellStyle name="60% - 강조색3" xfId="698" builtinId="40" customBuiltin="1"/>
    <cellStyle name="60% - 강조색4" xfId="702" builtinId="44" customBuiltin="1"/>
    <cellStyle name="60% - 강조색5" xfId="706" builtinId="48" customBuiltin="1"/>
    <cellStyle name="60% - 강조색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강조색1" xfId="687" builtinId="29" customBuiltin="1"/>
    <cellStyle name="강조색2" xfId="691" builtinId="33" customBuiltin="1"/>
    <cellStyle name="강조색3" xfId="695" builtinId="37" customBuiltin="1"/>
    <cellStyle name="강조색4" xfId="699" builtinId="41" customBuiltin="1"/>
    <cellStyle name="강조색5" xfId="703" builtinId="45" customBuiltin="1"/>
    <cellStyle name="강조색6" xfId="707" builtinId="49" customBuiltin="1"/>
    <cellStyle name="경고문" xfId="684" builtinId="11" customBuiltin="1"/>
    <cellStyle name="계산" xfId="681" builtinId="22" customBuiltin="1"/>
    <cellStyle name="나쁨" xfId="677" builtinId="27" customBuiltin="1"/>
    <cellStyle name="보통" xfId="678" builtinId="28" customBuiltin="1"/>
    <cellStyle name="설명 텍스트" xfId="685" builtinId="53" customBuiltin="1"/>
    <cellStyle name="셀 확인" xfId="683" builtinId="23" customBuiltin="1"/>
    <cellStyle name="연결된 셀" xfId="682" builtinId="24" customBuiltin="1"/>
    <cellStyle name="요약" xfId="686" builtinId="25" customBuiltin="1"/>
    <cellStyle name="一般 7" xfId="593"/>
    <cellStyle name="입력" xfId="679" builtinId="20" customBuiltin="1"/>
    <cellStyle name="제목" xfId="671" builtinId="15" customBuiltin="1"/>
    <cellStyle name="제목 1" xfId="672" builtinId="16" customBuiltin="1"/>
    <cellStyle name="제목 2" xfId="673" builtinId="17" customBuiltin="1"/>
    <cellStyle name="제목 3" xfId="674" builtinId="18" customBuiltin="1"/>
    <cellStyle name="제목 4" xfId="675" builtinId="19" customBuiltin="1"/>
    <cellStyle name="좋음" xfId="676" builtinId="26" customBuiltin="1"/>
    <cellStyle name="출력" xfId="680" builtinId="21" customBuiltin="1"/>
    <cellStyle name="표준" xfId="0" builtinId="0"/>
    <cellStyle name="표준 2" xfId="592"/>
    <cellStyle name="標準 2" xfId="594"/>
    <cellStyle name="標準 2 2" xfId="595"/>
    <cellStyle name="標準 2 3" xfId="596"/>
    <cellStyle name="하이퍼링크" xfId="829" builtinId="8"/>
  </cellStyles>
  <dxfs count="68">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zoomScale="85" zoomScaleNormal="85" workbookViewId="0">
      <selection activeCell="B3" sqref="B3"/>
    </sheetView>
  </sheetViews>
  <sheetFormatPr defaultColWidth="8.90625" defaultRowHeight="12.6"/>
  <cols>
    <col min="1" max="1" width="143" style="168" customWidth="1"/>
    <col min="2" max="2" width="34.90625" style="168" customWidth="1"/>
    <col min="3" max="3" width="8.90625" style="168" customWidth="1"/>
    <col min="4" max="16384" width="8.90625" style="168"/>
  </cols>
  <sheetData>
    <row r="1" spans="1:2" ht="104.1" customHeight="1">
      <c r="A1" s="183" t="str">
        <f ca="1">OFFSET(L!$C$1,MATCH("Instructions"&amp;ADDRESS(ROW(),COLUMN(),4),L!$A:$A,0)-1,SL,,)</f>
        <v>RMI:www.responsiblemineralsinitiative.org/</v>
      </c>
      <c r="B1" s="191"/>
    </row>
    <row r="2" spans="1:2" ht="16.2">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4.4">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6.2">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4.8">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6.2">
      <c r="A74" s="194" t="s">
        <v>0</v>
      </c>
      <c r="B74" s="190"/>
    </row>
    <row r="75" spans="1:2" ht="16.8"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3" workbookViewId="0">
      <selection activeCell="B143" sqref="B143"/>
    </sheetView>
  </sheetViews>
  <sheetFormatPr defaultColWidth="8.7265625" defaultRowHeight="12.6"/>
  <cols>
    <col min="1" max="1" width="20.453125" style="58" customWidth="1"/>
    <col min="2" max="2" width="57.08984375" style="58" customWidth="1"/>
    <col min="3" max="16384" width="8.72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941"/>
  <sheetViews>
    <sheetView workbookViewId="0">
      <selection activeCell="A2" sqref="A2"/>
    </sheetView>
  </sheetViews>
  <sheetFormatPr defaultRowHeight="12.6"/>
  <cols>
    <col min="2" max="2" width="27.363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6"/>
  <cols>
    <col min="1" max="1" width="0.90625" customWidth="1"/>
    <col min="2" max="2" width="10.08984375" customWidth="1"/>
    <col min="3" max="3" width="11.453125" customWidth="1"/>
    <col min="4" max="4" width="17.08984375" style="159" customWidth="1"/>
    <col min="5" max="5" width="42.26953125" customWidth="1"/>
    <col min="6" max="6" width="53.26953125" customWidth="1"/>
    <col min="7" max="7" width="0.90625" customWidth="1"/>
  </cols>
  <sheetData>
    <row r="1" spans="1:7" ht="13.2"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6.2">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
      <c r="A13" s="328"/>
      <c r="B13" s="247">
        <v>1</v>
      </c>
      <c r="C13" s="248" t="s">
        <v>12</v>
      </c>
      <c r="D13" s="249">
        <v>44489</v>
      </c>
      <c r="E13" s="250" t="s">
        <v>13</v>
      </c>
      <c r="F13" s="251" t="s">
        <v>14</v>
      </c>
      <c r="G13" s="25"/>
    </row>
    <row r="14" spans="1:7" ht="57">
      <c r="A14" s="328"/>
      <c r="B14" s="247">
        <v>1.01</v>
      </c>
      <c r="C14" s="248" t="s">
        <v>12</v>
      </c>
      <c r="D14" s="249">
        <v>44523</v>
      </c>
      <c r="E14" s="248" t="s">
        <v>14424</v>
      </c>
      <c r="F14" s="251" t="s">
        <v>14</v>
      </c>
      <c r="G14" s="25"/>
    </row>
    <row r="15" spans="1:7" ht="57">
      <c r="A15" s="328"/>
      <c r="B15" s="247">
        <v>1.02</v>
      </c>
      <c r="C15" s="248" t="s">
        <v>12</v>
      </c>
      <c r="D15" s="249">
        <v>44553</v>
      </c>
      <c r="E15" s="248" t="s">
        <v>14429</v>
      </c>
      <c r="F15" s="251" t="s">
        <v>14</v>
      </c>
      <c r="G15" s="25"/>
    </row>
    <row r="16" spans="1:7" ht="13.2" thickBot="1">
      <c r="A16" s="329"/>
      <c r="B16" s="330" t="str">
        <f ca="1">OFFSET(L!$C$1,MATCH("General"&amp;"Cpy",L!$A:$A,0)-1,SL,,)</f>
        <v>© 2021 Responsible Minerals Initiative. All rights reserved.</v>
      </c>
      <c r="C16" s="330"/>
      <c r="D16" s="330"/>
      <c r="E16" s="330"/>
      <c r="F16" s="330"/>
      <c r="G16" s="26"/>
    </row>
    <row r="17" ht="13.2"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68" customWidth="1"/>
    <col min="2" max="2" width="35.453125" style="168" customWidth="1"/>
    <col min="3" max="3" width="105.453125" style="168" customWidth="1"/>
    <col min="4" max="5" width="1.7265625" style="168" customWidth="1"/>
    <col min="6" max="6" width="52" style="168" customWidth="1"/>
    <col min="7" max="7" width="4.90625" style="168" customWidth="1"/>
    <col min="8" max="16384" width="8.90625" style="168"/>
  </cols>
  <sheetData>
    <row r="1" spans="1:8" ht="90.6" customHeight="1" thickTop="1">
      <c r="A1" s="334"/>
      <c r="B1" s="335"/>
      <c r="C1" s="335"/>
      <c r="D1" s="336"/>
    </row>
    <row r="2" spans="1:8" ht="16.2">
      <c r="A2" s="188"/>
      <c r="B2" s="189" t="str">
        <f ca="1">OFFSET(L!$C$1,MATCH("Definitions"&amp;ADDRESS(ROW(),COLUMN(),4),L!$A:$A,0)-1,SL,,)</f>
        <v>ITEM</v>
      </c>
      <c r="C2" s="189" t="str">
        <f ca="1">OFFSET(L!$C$1,MATCH("Definitions"&amp;ADDRESS(ROW(),COLUMN(),4),L!$A:$A,0)-1,SL,,)</f>
        <v>DEFINITION</v>
      </c>
      <c r="D2" s="338"/>
      <c r="E2" s="190"/>
    </row>
    <row r="3" spans="1:8" ht="48.6">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4.8">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9.6">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45.80000000000001">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81">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81">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8.6">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13.4">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81">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13.4">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8.6">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81">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45.80000000000001">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45.80000000000001">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4.8">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6.2">
      <c r="A22" s="188"/>
      <c r="B22" s="337" t="str">
        <f ca="1">OFFSET(L!$C$1,MATCH("General"&amp;"Cpy",L!$A:$A,0)-1,SL,,)</f>
        <v>© 2021 Responsible Minerals Initiative. All rights reserved.</v>
      </c>
      <c r="C22" s="337"/>
      <c r="D22" s="338"/>
      <c r="E22" s="191"/>
    </row>
    <row r="23" spans="1:5" ht="13.2" thickBot="1">
      <c r="A23" s="192"/>
      <c r="B23" s="193"/>
      <c r="C23" s="193"/>
      <c r="D23" s="339"/>
    </row>
    <row r="24" spans="1:5" ht="13.2"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20"/>
  <sheetViews>
    <sheetView showGridLines="0" showZeros="0" tabSelected="1" zoomScale="55" zoomScaleNormal="55" workbookViewId="0">
      <selection activeCell="AD37" sqref="AD37"/>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6.2">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6.2">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6.2">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3"/>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9.2">
      <c r="A9" s="32"/>
      <c r="B9" s="66" t="str">
        <f ca="1">OFFSET(L!$C$1,MATCH("Declaration"&amp;ADDRESS(ROW(),COLUMN(),4),L!$A:$A,0)-1,SL,,)</f>
        <v>Declaration Scope or Class (*):</v>
      </c>
      <c r="C9" s="67"/>
      <c r="D9" s="381"/>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v>
      </c>
      <c r="C10" s="113"/>
      <c r="D10" s="368"/>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9.2">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66"/>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66"/>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66"/>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66"/>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54"/>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66"/>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66"/>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66"/>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54"/>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66"/>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87"/>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6"/>
      <c r="E26" s="347"/>
      <c r="F26" s="9"/>
      <c r="G26" s="341"/>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6"/>
      <c r="E27" s="347"/>
      <c r="F27" s="9"/>
      <c r="G27" s="341"/>
      <c r="H27" s="342"/>
      <c r="I27" s="342"/>
      <c r="J27" s="343"/>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6"/>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6"/>
      <c r="E38" s="347"/>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6"/>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50"/>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92"/>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6"/>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c r="E71" s="347"/>
      <c r="F71" s="51"/>
      <c r="G71" s="402"/>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6"/>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c r="E79" s="400"/>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2">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2">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6.2">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6.8"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7" priority="124" stopIfTrue="1">
      <formula>IF($D$26="",TRUE)</formula>
    </cfRule>
  </conditionalFormatting>
  <conditionalFormatting sqref="D27:E27">
    <cfRule type="expression" dxfId="66" priority="131" stopIfTrue="1">
      <formula>IF($D$27="",TRUE)</formula>
    </cfRule>
  </conditionalFormatting>
  <conditionalFormatting sqref="D9:G9">
    <cfRule type="expression" dxfId="65" priority="139" stopIfTrue="1">
      <formula>IF($D$9="",TRUE)</formula>
    </cfRule>
  </conditionalFormatting>
  <conditionalFormatting sqref="D15:J15">
    <cfRule type="expression" dxfId="64" priority="140" stopIfTrue="1">
      <formula>IF($D$15="",TRUE)</formula>
    </cfRule>
  </conditionalFormatting>
  <conditionalFormatting sqref="D16:J16">
    <cfRule type="expression" dxfId="63" priority="141" stopIfTrue="1">
      <formula>IF($D$16="",TRUE)</formula>
    </cfRule>
  </conditionalFormatting>
  <conditionalFormatting sqref="D17:J17">
    <cfRule type="expression" dxfId="62" priority="142" stopIfTrue="1">
      <formula>IF($D$17="",TRUE)</formula>
    </cfRule>
  </conditionalFormatting>
  <conditionalFormatting sqref="D18:J18">
    <cfRule type="expression" dxfId="61" priority="143" stopIfTrue="1">
      <formula>IF($D$18="",TRUE)</formula>
    </cfRule>
  </conditionalFormatting>
  <conditionalFormatting sqref="D22:E22">
    <cfRule type="expression" dxfId="60" priority="146" stopIfTrue="1">
      <formula>IF($D$22="",TRUE)</formula>
    </cfRule>
  </conditionalFormatting>
  <conditionalFormatting sqref="D10:J10">
    <cfRule type="expression" dxfId="59" priority="43" stopIfTrue="1">
      <formula>IF($D$9=$Q$9,TRUE)</formula>
    </cfRule>
    <cfRule type="expression" dxfId="58" priority="153" stopIfTrue="1">
      <formula>IF(AND($D$10="",$D$9=$R$9),TRUE)</formula>
    </cfRule>
  </conditionalFormatting>
  <conditionalFormatting sqref="D40:E40 D46:E46 D52:E52 D58:E58 D64:E64">
    <cfRule type="expression" dxfId="57" priority="36" stopIfTrue="1">
      <formula>$P$28=""</formula>
    </cfRule>
  </conditionalFormatting>
  <conditionalFormatting sqref="D41:E41 D47:E47 D53:E53 D59:E59 D65:E65">
    <cfRule type="expression" dxfId="56" priority="151" stopIfTrue="1">
      <formula>$P$29=""</formula>
    </cfRule>
  </conditionalFormatting>
  <conditionalFormatting sqref="D40 D46 D52 D58 D64">
    <cfRule type="expression" dxfId="55" priority="149" stopIfTrue="1">
      <formula>IF(AND(OR($D$28="Yes",$D$28=""),D40=""),1,0)</formula>
    </cfRule>
  </conditionalFormatting>
  <conditionalFormatting sqref="D38:E38 D44:E44 D50:E50 D56:E56 D62:E62">
    <cfRule type="expression" dxfId="54" priority="40" stopIfTrue="1">
      <formula>IF(AND(OR($D$26="No",$D$26="Unknown",$D$26="Not applicable for this declaration",$D$32="No",$D$32="Unknown"),D38=""),1,0)</formula>
    </cfRule>
    <cfRule type="expression" dxfId="53" priority="41" stopIfTrue="1">
      <formula>IF(AND(OR($D$26="Yes",$D$26=""),D38=""),1,0)</formula>
    </cfRule>
  </conditionalFormatting>
  <conditionalFormatting sqref="G79:J79">
    <cfRule type="expression" dxfId="52" priority="34" stopIfTrue="1">
      <formula>IF(AND($D$79="Yes, using other format (describe)",$G$79=""),TRUE)</formula>
    </cfRule>
  </conditionalFormatting>
  <conditionalFormatting sqref="D39:E39 D45:E45 D51:E51 D57:E57 D63:E63">
    <cfRule type="expression" dxfId="51" priority="147" stopIfTrue="1">
      <formula>IF(AND(OR($D$27="No",$D$27="Unknown",$D$27="Not applicable for this declaration",$D$33="No",$D$33="Unknown"),D39=""),1,0)</formula>
    </cfRule>
    <cfRule type="expression" dxfId="50" priority="148" stopIfTrue="1">
      <formula>IF(AND(OR($D$27="Yes",$D$27=""),D39=""),1,0)</formula>
    </cfRule>
  </conditionalFormatting>
  <conditionalFormatting sqref="D41:E41 D47:E47 D53:E53 D59:E59 D65:E65">
    <cfRule type="expression" dxfId="49" priority="152" stopIfTrue="1">
      <formula>IF(AND(OR($D$29="Yes",$D$29=""),D41=""),1,0)</formula>
    </cfRule>
  </conditionalFormatting>
  <conditionalFormatting sqref="D20:J20">
    <cfRule type="expression" dxfId="48" priority="22" stopIfTrue="1">
      <formula>IF($D$20="",TRUE)</formula>
    </cfRule>
  </conditionalFormatting>
  <conditionalFormatting sqref="D28 D40 D46 D52 D58 D64">
    <cfRule type="expression" dxfId="47" priority="20">
      <formula>IF($D$28="No",TRUE)</formula>
    </cfRule>
  </conditionalFormatting>
  <conditionalFormatting sqref="D29 D41 D47 D53 D59 D65">
    <cfRule type="expression" dxfId="46" priority="19">
      <formula>IF($D$29="No",TRUE)</formula>
    </cfRule>
  </conditionalFormatting>
  <conditionalFormatting sqref="G71:J71">
    <cfRule type="expression" dxfId="45" priority="16">
      <formula>IF(AND($D$71="Yes",$G$71=""),TRUE)</formula>
    </cfRule>
  </conditionalFormatting>
  <conditionalFormatting sqref="G81:J81">
    <cfRule type="expression" dxfId="44" priority="15">
      <formula>IF(AND($D$81="Yes, using other format (describe)",$G$81=""),TRUE)</formula>
    </cfRule>
  </conditionalFormatting>
  <conditionalFormatting sqref="D32:E32">
    <cfRule type="expression" dxfId="43" priority="9" stopIfTrue="1">
      <formula>IF(AND(OR($D$26="Yes",$D$26=""),$D$32=""),1,0)</formula>
    </cfRule>
    <cfRule type="expression" dxfId="42" priority="13" stopIfTrue="1">
      <formula>IF($P$26="",TRUE)</formula>
    </cfRule>
  </conditionalFormatting>
  <conditionalFormatting sqref="D33:E33">
    <cfRule type="expression" dxfId="41" priority="12" stopIfTrue="1">
      <formula>IF(AND(OR($D$27="Yes",$D$27=""),$D$33=""),1,0)</formula>
    </cfRule>
    <cfRule type="expression" dxfId="40" priority="14" stopIfTrue="1">
      <formula>IF($P$27="",TRUE)</formula>
    </cfRule>
  </conditionalFormatting>
  <conditionalFormatting sqref="D34">
    <cfRule type="expression" dxfId="39" priority="11">
      <formula>IF($D$28="No",TRUE)</formula>
    </cfRule>
  </conditionalFormatting>
  <conditionalFormatting sqref="D35">
    <cfRule type="expression" dxfId="38" priority="10">
      <formula>IF($D$29="No",TRUE)</formula>
    </cfRule>
  </conditionalFormatting>
  <conditionalFormatting sqref="D74:E74">
    <cfRule type="expression" dxfId="37" priority="5" stopIfTrue="1">
      <formula>IF(AND(OR($D$26="No",$D$26="Unknown",$D$26="Not applicable for this declaration",$D$32="No",$D$32="Unknown"),D74=""),1,0)</formula>
    </cfRule>
    <cfRule type="expression" dxfId="36" priority="6" stopIfTrue="1">
      <formula>IF(AND(OR($D$26="Yes",$D$26=""),D74=""),1,0)</formula>
    </cfRule>
  </conditionalFormatting>
  <conditionalFormatting sqref="D75:E75">
    <cfRule type="expression" dxfId="35" priority="7" stopIfTrue="1">
      <formula>IF(AND(OR($D$27="No",$D$27="Unknown",$D$27="Not applicable for this declaration",$D$33="No",$D$33="Unknown"),D75=""),1,0)</formula>
    </cfRule>
    <cfRule type="expression" dxfId="34" priority="8" stopIfTrue="1">
      <formula>IF(AND(OR($D$27="Yes",$D$27=""),D75=""),1,0)</formula>
    </cfRule>
  </conditionalFormatting>
  <conditionalFormatting sqref="D69:E69 D71:E71 D77:E77 D79:E79 D81:E81 D83:E83">
    <cfRule type="expression" dxfId="33" priority="3" stopIfTrue="1">
      <formula>NOT(OR(AND($D$26="Yes",OR($D$32="Yes",$D$32="")),AND($D$27="Yes",OR($D$33="Yes",$D$33="")),OR($D$26="",$D$27="")))</formula>
    </cfRule>
    <cfRule type="expression" dxfId="32" priority="4" stopIfTrue="1">
      <formula>IF(D69="",TRUE)</formula>
    </cfRule>
  </conditionalFormatting>
  <conditionalFormatting sqref="D8:J8">
    <cfRule type="expression" dxfId="31" priority="2" stopIfTrue="1">
      <formula>IF($D$8="",TRUE)</formula>
    </cfRule>
  </conditionalFormatting>
  <conditionalFormatting sqref="D21:J21">
    <cfRule type="expression" dxfId="30"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1"/>
  <sheetViews>
    <sheetView showGridLines="0" showZeros="0" topLeftCell="A2" zoomScale="85" zoomScaleNormal="85" workbookViewId="0">
      <pane ySplit="3" topLeftCell="A5" activePane="bottomLeft" state="frozen"/>
      <selection activeCell="B24" sqref="B24:J24"/>
      <selection pane="bottomLeft" activeCell="C14" sqref="C14"/>
    </sheetView>
  </sheetViews>
  <sheetFormatPr defaultColWidth="8.90625" defaultRowHeight="12.6"/>
  <cols>
    <col min="1" max="1" width="13.7265625" style="18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399999999999999">
      <c r="A5" s="215"/>
      <c r="B5" s="160"/>
      <c r="C5" s="163"/>
      <c r="D5" s="160"/>
      <c r="E5" s="160"/>
      <c r="F5" s="160"/>
      <c r="G5" s="160"/>
      <c r="H5" s="225"/>
      <c r="I5" s="226"/>
      <c r="J5" s="226"/>
      <c r="K5" s="161"/>
      <c r="L5" s="161"/>
      <c r="M5" s="161"/>
      <c r="N5" s="161"/>
      <c r="O5" s="161"/>
      <c r="P5" s="228"/>
      <c r="Q5" s="162"/>
      <c r="R5" s="160"/>
      <c r="S5" s="166"/>
      <c r="T5" s="166"/>
      <c r="U5" s="180"/>
      <c r="V5" s="181"/>
    </row>
    <row r="6" spans="1:34" s="182" customFormat="1" ht="20.399999999999999">
      <c r="A6" s="215"/>
      <c r="B6" s="160"/>
      <c r="C6" s="163"/>
      <c r="D6" s="160"/>
      <c r="E6" s="160"/>
      <c r="F6" s="160"/>
      <c r="G6" s="160"/>
      <c r="H6" s="225"/>
      <c r="I6" s="226"/>
      <c r="J6" s="226"/>
      <c r="K6" s="161"/>
      <c r="L6" s="161"/>
      <c r="M6" s="161"/>
      <c r="N6" s="161"/>
      <c r="O6" s="161"/>
      <c r="P6" s="228"/>
      <c r="Q6" s="162"/>
      <c r="R6" s="160"/>
      <c r="S6" s="166"/>
      <c r="T6" s="166"/>
      <c r="U6" s="180"/>
      <c r="V6" s="181"/>
    </row>
    <row r="7" spans="1:34" s="182" customFormat="1" ht="20.399999999999999">
      <c r="A7" s="215"/>
      <c r="B7" s="160"/>
      <c r="C7" s="163"/>
      <c r="D7" s="160"/>
      <c r="E7" s="160"/>
      <c r="F7" s="160"/>
      <c r="G7" s="160"/>
      <c r="H7" s="225"/>
      <c r="I7" s="226"/>
      <c r="J7" s="226"/>
      <c r="K7" s="161"/>
      <c r="L7" s="161"/>
      <c r="M7" s="161"/>
      <c r="N7" s="161"/>
      <c r="O7" s="161"/>
      <c r="P7" s="228"/>
      <c r="Q7" s="162"/>
      <c r="R7" s="160"/>
      <c r="S7" s="166"/>
      <c r="T7" s="166"/>
      <c r="U7" s="180"/>
      <c r="V7" s="181"/>
    </row>
    <row r="8" spans="1:34" s="182" customFormat="1" ht="20.399999999999999">
      <c r="A8" s="215"/>
      <c r="B8" s="160"/>
      <c r="C8" s="163"/>
      <c r="D8" s="160"/>
      <c r="E8" s="160"/>
      <c r="F8" s="160"/>
      <c r="G8" s="160"/>
      <c r="H8" s="225"/>
      <c r="I8" s="226"/>
      <c r="J8" s="226"/>
      <c r="K8" s="161"/>
      <c r="L8" s="161"/>
      <c r="M8" s="161"/>
      <c r="N8" s="161"/>
      <c r="O8" s="161"/>
      <c r="P8" s="228"/>
      <c r="Q8" s="162"/>
      <c r="R8" s="160"/>
      <c r="S8" s="166"/>
      <c r="T8" s="166"/>
      <c r="U8" s="180"/>
      <c r="V8" s="181"/>
    </row>
    <row r="9" spans="1:34" s="182" customFormat="1" ht="20.399999999999999">
      <c r="A9" s="215"/>
      <c r="B9" s="160"/>
      <c r="C9" s="163"/>
      <c r="D9" s="160"/>
      <c r="E9" s="160"/>
      <c r="F9" s="160"/>
      <c r="G9" s="160"/>
      <c r="H9" s="225"/>
      <c r="I9" s="226"/>
      <c r="J9" s="226"/>
      <c r="K9" s="161"/>
      <c r="L9" s="161"/>
      <c r="M9" s="161"/>
      <c r="N9" s="161"/>
      <c r="O9" s="161"/>
      <c r="P9" s="228"/>
      <c r="Q9" s="162"/>
      <c r="R9" s="160"/>
      <c r="S9" s="166"/>
      <c r="T9" s="166"/>
      <c r="U9" s="180"/>
      <c r="V9" s="181"/>
    </row>
    <row r="10" spans="1:34" s="182" customFormat="1" ht="20.399999999999999">
      <c r="A10" s="215"/>
      <c r="B10" s="160"/>
      <c r="C10" s="163"/>
      <c r="D10" s="160"/>
      <c r="E10" s="160"/>
      <c r="F10" s="160"/>
      <c r="G10" s="160"/>
      <c r="H10" s="225"/>
      <c r="I10" s="226"/>
      <c r="J10" s="226"/>
      <c r="K10" s="161"/>
      <c r="L10" s="161"/>
      <c r="M10" s="161"/>
      <c r="N10" s="161"/>
      <c r="O10" s="161"/>
      <c r="P10" s="228"/>
      <c r="Q10" s="162"/>
      <c r="R10" s="160"/>
      <c r="S10" s="166"/>
      <c r="T10" s="166"/>
      <c r="U10" s="180"/>
      <c r="V10" s="181"/>
    </row>
    <row r="11" spans="1:34" s="182" customFormat="1" ht="20.399999999999999">
      <c r="A11" s="216"/>
      <c r="B11" s="160"/>
      <c r="C11" s="163"/>
      <c r="D11" s="160"/>
      <c r="E11" s="160"/>
      <c r="F11" s="160"/>
      <c r="G11" s="160"/>
      <c r="H11" s="225"/>
      <c r="I11" s="226"/>
      <c r="J11" s="226"/>
      <c r="K11" s="161"/>
      <c r="L11" s="161"/>
      <c r="M11" s="161"/>
      <c r="N11" s="161"/>
      <c r="O11" s="161"/>
      <c r="P11" s="228"/>
      <c r="Q11" s="162"/>
      <c r="R11" s="160"/>
      <c r="S11" s="166"/>
      <c r="T11" s="166"/>
      <c r="U11" s="180"/>
      <c r="V11" s="181"/>
    </row>
    <row r="12" spans="1:34" s="182" customFormat="1" ht="20.399999999999999">
      <c r="A12" s="215"/>
      <c r="B12" s="160"/>
      <c r="C12" s="163"/>
      <c r="D12" s="160"/>
      <c r="E12" s="160"/>
      <c r="F12" s="160"/>
      <c r="G12" s="160"/>
      <c r="H12" s="225"/>
      <c r="I12" s="226"/>
      <c r="J12" s="226"/>
      <c r="K12" s="161"/>
      <c r="L12" s="161"/>
      <c r="M12" s="161"/>
      <c r="N12" s="161"/>
      <c r="O12" s="161"/>
      <c r="P12" s="228"/>
      <c r="Q12" s="162"/>
      <c r="R12" s="160"/>
      <c r="S12" s="166"/>
      <c r="T12" s="166"/>
      <c r="U12" s="180"/>
      <c r="V12" s="181"/>
    </row>
    <row r="13" spans="1:34" s="182" customFormat="1" ht="20.399999999999999">
      <c r="A13" s="215"/>
      <c r="B13" s="160"/>
      <c r="C13" s="163"/>
      <c r="D13" s="160"/>
      <c r="E13" s="160"/>
      <c r="F13" s="160"/>
      <c r="G13" s="160"/>
      <c r="H13" s="225"/>
      <c r="I13" s="226"/>
      <c r="J13" s="226"/>
      <c r="K13" s="161"/>
      <c r="L13" s="161"/>
      <c r="M13" s="161"/>
      <c r="N13" s="161"/>
      <c r="O13" s="161"/>
      <c r="P13" s="228"/>
      <c r="Q13" s="162"/>
      <c r="R13" s="160"/>
      <c r="S13" s="166"/>
      <c r="T13" s="166"/>
      <c r="U13" s="180"/>
      <c r="V13" s="181"/>
    </row>
    <row r="14" spans="1:34" s="182" customFormat="1" ht="20.399999999999999">
      <c r="A14" s="216"/>
      <c r="B14" s="160"/>
      <c r="C14" s="163"/>
      <c r="D14" s="160"/>
      <c r="E14" s="160"/>
      <c r="F14" s="160"/>
      <c r="G14" s="160"/>
      <c r="H14" s="225"/>
      <c r="I14" s="226"/>
      <c r="J14" s="226"/>
      <c r="K14" s="161"/>
      <c r="L14" s="161"/>
      <c r="M14" s="161"/>
      <c r="N14" s="161"/>
      <c r="O14" s="161"/>
      <c r="P14" s="228"/>
      <c r="Q14" s="162"/>
      <c r="R14" s="160"/>
      <c r="S14" s="166"/>
      <c r="T14" s="166"/>
      <c r="U14" s="180"/>
      <c r="V14" s="181"/>
    </row>
    <row r="15" spans="1:34" s="182" customFormat="1" ht="20.399999999999999">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ref="S5:S63" ca="1" si="0">IF(B15="","",IF(ISERROR(MATCH($E15,CL,0)),"Unknown",INDIRECT("'C'!$A$"&amp;MATCH($E15,CL,0)+1)))</f>
        <v/>
      </c>
      <c r="T15" s="166" t="str">
        <f ca="1">IF(B15="","",IF(ISERROR(MATCH($J15,SorP!$B$1:$B$6205,0)),"",INDIRECT("'SorP'!$A$"&amp;MATCH($J15,SorP!$B$1:$B$6205,0))))</f>
        <v/>
      </c>
      <c r="U15" s="180"/>
      <c r="V15" s="181" t="e">
        <f>IF(C15="",NA(),MATCH($B15&amp;$C15,'Smelter Look-up'!$J:$J,0))</f>
        <v>#N/A</v>
      </c>
      <c r="X15" s="182">
        <f t="shared" ref="X5:X62" ca="1" si="1">IF(AND(C15="Smelter not listed",OR(LEN(D15)=0,LEN(E15)=0)),1,0)</f>
        <v>0</v>
      </c>
      <c r="AB15" s="182" t="str">
        <f t="shared" ref="AB5:AB62" si="2">B15&amp;C15</f>
        <v/>
      </c>
    </row>
    <row r="16" spans="1:34" s="182" customFormat="1" ht="20.399999999999999">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399999999999999">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399999999999999">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399999999999999">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399999999999999">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399999999999999">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399999999999999">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399999999999999">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399999999999999">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399999999999999">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399999999999999">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399999999999999">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399999999999999">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399999999999999">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399999999999999">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399999999999999">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399999999999999">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399999999999999">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399999999999999">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399999999999999">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399999999999999">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399999999999999">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399999999999999">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399999999999999">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399999999999999">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399999999999999">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399999999999999">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399999999999999">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399999999999999">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399999999999999">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399999999999999">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399999999999999">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399999999999999">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399999999999999">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399999999999999">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399999999999999">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399999999999999">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399999999999999">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399999999999999">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399999999999999">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399999999999999">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399999999999999">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399999999999999">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399999999999999">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399999999999999">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399999999999999">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399999999999999">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399999999999999">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399999999999999">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399999999999999">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399999999999999">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399999999999999">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399999999999999">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399999999999999">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399999999999999">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399999999999999">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399999999999999">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399999999999999">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399999999999999">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399999999999999">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399999999999999">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399999999999999">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399999999999999">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399999999999999">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399999999999999">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399999999999999">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399999999999999">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399999999999999">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399999999999999">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399999999999999">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399999999999999">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399999999999999">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399999999999999">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399999999999999">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399999999999999">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399999999999999">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399999999999999">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399999999999999">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399999999999999">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399999999999999">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399999999999999">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399999999999999">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399999999999999">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399999999999999">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399999999999999">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399999999999999">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399999999999999">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399999999999999">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399999999999999">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399999999999999">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399999999999999">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399999999999999">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399999999999999">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399999999999999">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399999999999999">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399999999999999">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399999999999999">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399999999999999">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399999999999999">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399999999999999">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399999999999999">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399999999999999">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399999999999999">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399999999999999">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399999999999999">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399999999999999">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399999999999999">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399999999999999">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399999999999999">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399999999999999">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399999999999999">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399999999999999">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399999999999999">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399999999999999">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399999999999999">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399999999999999">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399999999999999">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399999999999999">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399999999999999">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399999999999999">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399999999999999">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399999999999999">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399999999999999">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399999999999999">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399999999999999">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399999999999999">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399999999999999">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399999999999999">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399999999999999">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399999999999999">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399999999999999">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399999999999999">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399999999999999">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399999999999999">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399999999999999">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399999999999999">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399999999999999">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399999999999999">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399999999999999">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399999999999999">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399999999999999">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399999999999999">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399999999999999">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399999999999999">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399999999999999">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399999999999999">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399999999999999">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399999999999999">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399999999999999">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399999999999999">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399999999999999">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399999999999999">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399999999999999">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399999999999999">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399999999999999">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399999999999999">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399999999999999">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399999999999999">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399999999999999">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399999999999999">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399999999999999">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399999999999999">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399999999999999">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399999999999999">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399999999999999">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399999999999999">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399999999999999">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399999999999999">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399999999999999">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399999999999999">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399999999999999">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399999999999999">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399999999999999">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399999999999999">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399999999999999">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399999999999999">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399999999999999">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399999999999999">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399999999999999">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399999999999999">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399999999999999">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399999999999999">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399999999999999">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399999999999999">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399999999999999">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399999999999999">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399999999999999">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399999999999999">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399999999999999">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399999999999999">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399999999999999">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399999999999999">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399999999999999">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399999999999999">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399999999999999">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399999999999999">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399999999999999">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399999999999999">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399999999999999">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399999999999999">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399999999999999">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399999999999999">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399999999999999">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399999999999999">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399999999999999">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399999999999999">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399999999999999">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399999999999999">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399999999999999">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399999999999999">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399999999999999">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399999999999999">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399999999999999">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399999999999999">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399999999999999">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399999999999999">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399999999999999">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399999999999999">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399999999999999">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399999999999999">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399999999999999">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399999999999999">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399999999999999">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399999999999999">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399999999999999">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399999999999999">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399999999999999">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399999999999999">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399999999999999">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399999999999999">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399999999999999">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399999999999999">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399999999999999">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399999999999999">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399999999999999">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399999999999999">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399999999999999">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399999999999999">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399999999999999">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399999999999999">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399999999999999">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399999999999999">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399999999999999">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399999999999999">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399999999999999">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399999999999999">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399999999999999">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399999999999999">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399999999999999">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399999999999999">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399999999999999">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399999999999999">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399999999999999">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399999999999999">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399999999999999">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399999999999999">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399999999999999">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399999999999999">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399999999999999">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399999999999999">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399999999999999">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399999999999999">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399999999999999">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399999999999999">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399999999999999">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399999999999999">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399999999999999">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399999999999999">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399999999999999">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399999999999999">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399999999999999">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399999999999999">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399999999999999">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399999999999999">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399999999999999">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399999999999999">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399999999999999">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399999999999999">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399999999999999">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399999999999999">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399999999999999">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399999999999999">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399999999999999">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399999999999999">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399999999999999">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399999999999999">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399999999999999">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399999999999999">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399999999999999">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399999999999999">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399999999999999">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399999999999999">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399999999999999">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399999999999999">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399999999999999">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399999999999999">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399999999999999">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399999999999999">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399999999999999">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399999999999999">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399999999999999">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399999999999999">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399999999999999">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399999999999999">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399999999999999">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399999999999999">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399999999999999">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399999999999999">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399999999999999">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399999999999999">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399999999999999">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399999999999999">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399999999999999">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399999999999999">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399999999999999">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399999999999999">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399999999999999">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399999999999999">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399999999999999">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399999999999999">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399999999999999">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399999999999999">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399999999999999">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399999999999999">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399999999999999">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399999999999999">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399999999999999">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399999999999999">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399999999999999">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399999999999999">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399999999999999">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399999999999999">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399999999999999">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399999999999999">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399999999999999">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399999999999999">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399999999999999">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399999999999999">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399999999999999">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399999999999999">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399999999999999">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399999999999999">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399999999999999">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399999999999999">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399999999999999">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399999999999999">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399999999999999">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399999999999999">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399999999999999">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399999999999999">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399999999999999">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399999999999999">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399999999999999">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399999999999999">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399999999999999">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399999999999999">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399999999999999">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399999999999999">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399999999999999">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399999999999999">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399999999999999">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399999999999999">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399999999999999">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399999999999999">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399999999999999">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399999999999999">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399999999999999">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399999999999999">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399999999999999">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399999999999999">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399999999999999">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399999999999999">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399999999999999">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399999999999999">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399999999999999">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399999999999999">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399999999999999">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399999999999999">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399999999999999">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399999999999999">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399999999999999">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399999999999999">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399999999999999">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399999999999999">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399999999999999">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399999999999999">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399999999999999">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399999999999999">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399999999999999">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399999999999999">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399999999999999">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399999999999999">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399999999999999">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399999999999999">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399999999999999">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399999999999999">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399999999999999">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399999999999999">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399999999999999">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399999999999999">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399999999999999">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399999999999999">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399999999999999">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399999999999999">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399999999999999">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399999999999999">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399999999999999">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399999999999999">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399999999999999">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399999999999999">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399999999999999">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399999999999999">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399999999999999">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399999999999999">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399999999999999">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399999999999999">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399999999999999">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399999999999999">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399999999999999">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399999999999999">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399999999999999">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399999999999999">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399999999999999">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399999999999999">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399999999999999">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399999999999999">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399999999999999">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399999999999999">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399999999999999">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399999999999999">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399999999999999">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399999999999999">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399999999999999">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399999999999999">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399999999999999">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399999999999999">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399999999999999">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399999999999999">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399999999999999">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399999999999999">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399999999999999">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399999999999999">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399999999999999">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399999999999999">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399999999999999">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399999999999999">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399999999999999">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399999999999999">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399999999999999">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399999999999999">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399999999999999">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399999999999999">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399999999999999">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399999999999999">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399999999999999">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399999999999999">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399999999999999">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399999999999999">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399999999999999">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399999999999999">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399999999999999">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399999999999999">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399999999999999">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399999999999999">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399999999999999">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399999999999999">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399999999999999">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399999999999999">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399999999999999">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399999999999999">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399999999999999">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399999999999999">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399999999999999">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399999999999999">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399999999999999">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399999999999999">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399999999999999">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399999999999999">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399999999999999">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399999999999999">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399999999999999">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399999999999999">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399999999999999">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399999999999999">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399999999999999">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399999999999999">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399999999999999">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399999999999999">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399999999999999">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399999999999999">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399999999999999">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399999999999999">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399999999999999">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399999999999999">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399999999999999">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399999999999999">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399999999999999">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399999999999999">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399999999999999">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399999999999999">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399999999999999">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399999999999999">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399999999999999">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399999999999999">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399999999999999">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399999999999999">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399999999999999">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399999999999999">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399999999999999">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399999999999999">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399999999999999">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399999999999999">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399999999999999">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399999999999999">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399999999999999">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399999999999999">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399999999999999">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399999999999999">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399999999999999">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399999999999999">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399999999999999">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399999999999999">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399999999999999">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399999999999999">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399999999999999">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399999999999999">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399999999999999">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399999999999999">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399999999999999">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399999999999999">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399999999999999">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399999999999999">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399999999999999">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399999999999999">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399999999999999">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399999999999999">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399999999999999">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399999999999999">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399999999999999">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399999999999999">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399999999999999">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399999999999999">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399999999999999">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399999999999999">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399999999999999">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399999999999999">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399999999999999">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399999999999999">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399999999999999">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399999999999999">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399999999999999">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399999999999999">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399999999999999">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399999999999999">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399999999999999">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399999999999999">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399999999999999">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399999999999999">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399999999999999">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399999999999999">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399999999999999">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399999999999999">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399999999999999">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399999999999999">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399999999999999">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399999999999999">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399999999999999">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399999999999999">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399999999999999">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399999999999999">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399999999999999">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399999999999999">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399999999999999">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399999999999999">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399999999999999">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399999999999999">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399999999999999">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399999999999999">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399999999999999">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399999999999999">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399999999999999">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399999999999999">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399999999999999">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399999999999999">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399999999999999">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399999999999999">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399999999999999">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399999999999999">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399999999999999">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399999999999999">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399999999999999">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399999999999999">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399999999999999">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399999999999999">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399999999999999">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399999999999999">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399999999999999">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399999999999999">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399999999999999">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399999999999999">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399999999999999">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399999999999999">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399999999999999">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399999999999999">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399999999999999">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399999999999999">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399999999999999">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399999999999999">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399999999999999">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399999999999999">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399999999999999">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399999999999999">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399999999999999">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399999999999999">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399999999999999">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399999999999999">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399999999999999">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399999999999999">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399999999999999">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399999999999999">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399999999999999">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399999999999999">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399999999999999">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399999999999999">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399999999999999">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399999999999999">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399999999999999">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399999999999999">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399999999999999">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399999999999999">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399999999999999">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399999999999999">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399999999999999">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399999999999999">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399999999999999">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399999999999999">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399999999999999">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399999999999999">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399999999999999">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399999999999999">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399999999999999">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399999999999999">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399999999999999">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399999999999999">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399999999999999">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399999999999999">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399999999999999">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399999999999999">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399999999999999">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399999999999999">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399999999999999">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399999999999999">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399999999999999">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399999999999999">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399999999999999">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399999999999999">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399999999999999">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399999999999999">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399999999999999">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399999999999999">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399999999999999">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399999999999999">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399999999999999">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399999999999999">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399999999999999">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399999999999999">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399999999999999">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399999999999999">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399999999999999">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399999999999999">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399999999999999">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399999999999999">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399999999999999">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399999999999999">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399999999999999">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399999999999999">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399999999999999">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399999999999999">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399999999999999">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399999999999999">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399999999999999">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399999999999999">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399999999999999">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399999999999999">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399999999999999">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399999999999999">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399999999999999">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399999999999999">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399999999999999">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399999999999999">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399999999999999">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399999999999999">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399999999999999">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399999999999999">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399999999999999">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399999999999999">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399999999999999">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399999999999999">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399999999999999">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399999999999999">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399999999999999">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399999999999999">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399999999999999">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399999999999999">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399999999999999">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399999999999999">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399999999999999">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399999999999999">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399999999999999">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399999999999999">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399999999999999">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399999999999999">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399999999999999">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399999999999999">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399999999999999">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399999999999999">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399999999999999">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399999999999999">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399999999999999">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399999999999999">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399999999999999">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399999999999999">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399999999999999">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399999999999999">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399999999999999">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399999999999999">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399999999999999">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399999999999999">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399999999999999">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399999999999999">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399999999999999">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399999999999999">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399999999999999">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399999999999999">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399999999999999">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399999999999999">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399999999999999">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399999999999999">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399999999999999">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399999999999999">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399999999999999">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399999999999999">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399999999999999">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399999999999999">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399999999999999">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399999999999999">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399999999999999">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399999999999999">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399999999999999">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399999999999999">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399999999999999">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399999999999999">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399999999999999">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399999999999999">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399999999999999">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399999999999999">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399999999999999">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399999999999999">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399999999999999">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399999999999999">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399999999999999">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399999999999999">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399999999999999">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399999999999999">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399999999999999">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399999999999999">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399999999999999">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399999999999999">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399999999999999">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399999999999999">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399999999999999">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399999999999999">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399999999999999">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399999999999999">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399999999999999">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399999999999999">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399999999999999">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399999999999999">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399999999999999">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399999999999999">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399999999999999">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399999999999999">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399999999999999">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399999999999999">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399999999999999">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399999999999999">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399999999999999">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399999999999999">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399999999999999">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399999999999999">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399999999999999">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399999999999999">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399999999999999">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399999999999999">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399999999999999">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399999999999999">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399999999999999">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399999999999999">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399999999999999">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399999999999999">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399999999999999">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399999999999999">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399999999999999">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399999999999999">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399999999999999">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399999999999999">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399999999999999">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399999999999999">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399999999999999">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399999999999999">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399999999999999">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399999999999999">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399999999999999">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399999999999999">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399999999999999">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399999999999999">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399999999999999">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399999999999999">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399999999999999">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399999999999999">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399999999999999">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399999999999999">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399999999999999">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399999999999999">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399999999999999">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399999999999999">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399999999999999">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399999999999999">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399999999999999">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399999999999999">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399999999999999">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399999999999999">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399999999999999">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399999999999999">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399999999999999">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399999999999999">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399999999999999">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399999999999999">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399999999999999">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399999999999999">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399999999999999">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399999999999999">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399999999999999">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399999999999999">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399999999999999">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399999999999999">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399999999999999">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399999999999999">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399999999999999">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399999999999999">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399999999999999">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399999999999999">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399999999999999">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399999999999999">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399999999999999">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399999999999999">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399999999999999">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399999999999999">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399999999999999">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399999999999999">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399999999999999">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399999999999999">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399999999999999">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399999999999999">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399999999999999">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399999999999999">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399999999999999">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399999999999999">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399999999999999">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399999999999999">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399999999999999">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399999999999999">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399999999999999">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399999999999999">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399999999999999">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399999999999999">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399999999999999">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399999999999999">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399999999999999">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399999999999999">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399999999999999">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399999999999999">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399999999999999">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399999999999999">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399999999999999">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399999999999999">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399999999999999">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399999999999999">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399999999999999">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399999999999999">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399999999999999">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399999999999999">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399999999999999">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399999999999999">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399999999999999">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399999999999999">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399999999999999">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399999999999999">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399999999999999">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399999999999999">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399999999999999">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399999999999999">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399999999999999">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399999999999999">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399999999999999">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399999999999999">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399999999999999">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399999999999999">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399999999999999">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399999999999999">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399999999999999">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399999999999999">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399999999999999">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399999999999999">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399999999999999">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399999999999999">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399999999999999">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399999999999999">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399999999999999">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399999999999999">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399999999999999">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399999999999999">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399999999999999">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399999999999999">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399999999999999">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399999999999999">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399999999999999">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399999999999999">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399999999999999">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399999999999999">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399999999999999">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399999999999999">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399999999999999">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399999999999999">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399999999999999">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399999999999999">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399999999999999">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399999999999999">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399999999999999">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399999999999999">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399999999999999">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399999999999999">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399999999999999">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399999999999999">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399999999999999">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399999999999999">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399999999999999">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399999999999999">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399999999999999">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399999999999999">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399999999999999">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399999999999999">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399999999999999">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399999999999999">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399999999999999">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399999999999999">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399999999999999">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399999999999999">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399999999999999">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399999999999999">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399999999999999">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399999999999999">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399999999999999">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399999999999999">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399999999999999">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399999999999999">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399999999999999">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399999999999999">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399999999999999">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399999999999999">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399999999999999">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399999999999999">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399999999999999">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399999999999999">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399999999999999">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399999999999999">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399999999999999">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399999999999999">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399999999999999">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399999999999999">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399999999999999">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399999999999999">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399999999999999">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399999999999999">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399999999999999">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399999999999999">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399999999999999">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399999999999999">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399999999999999">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399999999999999">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399999999999999">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399999999999999">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399999999999999">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399999999999999">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399999999999999">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399999999999999">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399999999999999">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399999999999999">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399999999999999">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399999999999999">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399999999999999">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399999999999999">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399999999999999">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399999999999999">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399999999999999">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399999999999999">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399999999999999">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399999999999999">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399999999999999">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399999999999999">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399999999999999">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399999999999999">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399999999999999">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399999999999999">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399999999999999">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399999999999999">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399999999999999">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399999999999999">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399999999999999">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399999999999999">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399999999999999">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399999999999999">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399999999999999">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399999999999999">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399999999999999">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399999999999999">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399999999999999">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399999999999999">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399999999999999">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399999999999999">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399999999999999">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399999999999999">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399999999999999">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399999999999999">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399999999999999">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399999999999999">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399999999999999">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399999999999999">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399999999999999">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399999999999999">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399999999999999">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399999999999999">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399999999999999">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399999999999999">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399999999999999">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399999999999999">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399999999999999">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399999999999999">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399999999999999">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399999999999999">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399999999999999">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399999999999999">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399999999999999">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399999999999999">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399999999999999">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399999999999999">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399999999999999">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399999999999999">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399999999999999">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399999999999999">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399999999999999">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399999999999999">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399999999999999">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399999999999999">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399999999999999">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399999999999999">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399999999999999">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399999999999999">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399999999999999">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399999999999999">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399999999999999">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399999999999999">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399999999999999">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399999999999999">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399999999999999">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399999999999999">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399999999999999">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399999999999999">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399999999999999">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399999999999999">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399999999999999">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399999999999999">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399999999999999">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399999999999999">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399999999999999">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399999999999999">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399999999999999">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399999999999999">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399999999999999">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399999999999999">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399999999999999">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399999999999999">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399999999999999">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399999999999999">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399999999999999">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399999999999999">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399999999999999">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399999999999999">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399999999999999">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399999999999999">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399999999999999">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399999999999999">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399999999999999">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399999999999999">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399999999999999">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399999999999999">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399999999999999">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399999999999999">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399999999999999">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399999999999999">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399999999999999">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399999999999999">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399999999999999">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399999999999999">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399999999999999">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399999999999999">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399999999999999">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399999999999999">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399999999999999">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399999999999999">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399999999999999">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399999999999999">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399999999999999">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399999999999999">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399999999999999">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399999999999999">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399999999999999">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399999999999999">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399999999999999">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399999999999999">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399999999999999">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399999999999999">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399999999999999">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399999999999999">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399999999999999">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399999999999999">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399999999999999">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399999999999999">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399999999999999">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399999999999999">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399999999999999">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399999999999999">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399999999999999">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399999999999999">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399999999999999">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399999999999999">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399999999999999">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399999999999999">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399999999999999">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399999999999999">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399999999999999">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399999999999999">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399999999999999">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399999999999999">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399999999999999">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399999999999999">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399999999999999">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399999999999999">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399999999999999">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399999999999999">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399999999999999">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399999999999999">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399999999999999">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399999999999999">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399999999999999">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399999999999999">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399999999999999">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399999999999999">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399999999999999">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399999999999999">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399999999999999">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399999999999999">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399999999999999">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399999999999999">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399999999999999">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399999999999999">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399999999999999">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399999999999999">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399999999999999">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399999999999999">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399999999999999">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399999999999999">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399999999999999">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399999999999999">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399999999999999">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399999999999999">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399999999999999">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399999999999999">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399999999999999">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399999999999999">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399999999999999">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399999999999999">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399999999999999">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399999999999999">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399999999999999">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399999999999999">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399999999999999">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399999999999999">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399999999999999">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399999999999999">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399999999999999">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399999999999999">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399999999999999">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399999999999999">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399999999999999">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399999999999999">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399999999999999">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399999999999999">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399999999999999">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399999999999999">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399999999999999">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399999999999999">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399999999999999">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399999999999999">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399999999999999">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399999999999999">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399999999999999">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399999999999999">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399999999999999">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399999999999999">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399999999999999">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399999999999999">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399999999999999">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399999999999999">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399999999999999">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399999999999999">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399999999999999">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399999999999999">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399999999999999">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399999999999999">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399999999999999">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399999999999999">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399999999999999">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399999999999999">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399999999999999">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399999999999999">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399999999999999">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399999999999999">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399999999999999">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399999999999999">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399999999999999">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399999999999999">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399999999999999">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399999999999999">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399999999999999">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399999999999999">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399999999999999">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399999999999999">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399999999999999">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399999999999999">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399999999999999">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399999999999999">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399999999999999">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399999999999999">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399999999999999">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399999999999999">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399999999999999">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399999999999999">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399999999999999">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399999999999999">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399999999999999">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399999999999999">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399999999999999">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399999999999999">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399999999999999">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399999999999999">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399999999999999">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399999999999999">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399999999999999">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399999999999999">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399999999999999">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399999999999999">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399999999999999">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399999999999999">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399999999999999">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399999999999999">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399999999999999">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399999999999999">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399999999999999">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399999999999999">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399999999999999">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399999999999999">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399999999999999">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399999999999999">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399999999999999">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399999999999999">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399999999999999">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399999999999999">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399999999999999">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399999999999999">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399999999999999">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399999999999999">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399999999999999">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399999999999999">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399999999999999">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399999999999999">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399999999999999">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399999999999999">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399999999999999">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399999999999999">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399999999999999">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399999999999999">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399999999999999">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399999999999999">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399999999999999">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399999999999999">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399999999999999">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399999999999999">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399999999999999">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399999999999999">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399999999999999">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399999999999999">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399999999999999">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399999999999999">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399999999999999">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399999999999999">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399999999999999">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399999999999999">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399999999999999">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399999999999999">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399999999999999">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399999999999999">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399999999999999">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399999999999999">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399999999999999">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399999999999999">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399999999999999">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399999999999999">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399999999999999">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399999999999999">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399999999999999">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399999999999999">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399999999999999">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399999999999999">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399999999999999">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399999999999999">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399999999999999">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399999999999999">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399999999999999">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399999999999999">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399999999999999">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399999999999999">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399999999999999">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399999999999999">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399999999999999">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399999999999999">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399999999999999">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399999999999999">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399999999999999">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399999999999999">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399999999999999">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399999999999999">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399999999999999">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399999999999999">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399999999999999">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399999999999999">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399999999999999">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399999999999999">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399999999999999">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399999999999999">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399999999999999">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399999999999999">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399999999999999">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399999999999999">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399999999999999">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399999999999999">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399999999999999">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399999999999999">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399999999999999">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399999999999999">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399999999999999">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399999999999999">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399999999999999">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399999999999999">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399999999999999">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399999999999999">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399999999999999">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399999999999999">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399999999999999">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399999999999999">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399999999999999">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399999999999999">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399999999999999">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399999999999999">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399999999999999">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399999999999999">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399999999999999">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399999999999999">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399999999999999">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399999999999999">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399999999999999">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399999999999999">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399999999999999">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399999999999999">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399999999999999">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399999999999999">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399999999999999">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399999999999999">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399999999999999">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399999999999999">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399999999999999">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399999999999999">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399999999999999">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399999999999999">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399999999999999">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399999999999999">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399999999999999">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399999999999999">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399999999999999">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399999999999999">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399999999999999">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399999999999999">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399999999999999">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399999999999999">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399999999999999">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399999999999999">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399999999999999">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399999999999999">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399999999999999">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399999999999999">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399999999999999">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399999999999999">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399999999999999">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399999999999999">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399999999999999">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399999999999999">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399999999999999">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399999999999999">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399999999999999">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399999999999999">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399999999999999">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399999999999999">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399999999999999">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399999999999999">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399999999999999">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399999999999999">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399999999999999">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399999999999999">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399999999999999">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399999999999999">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399999999999999">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399999999999999">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399999999999999">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399999999999999">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399999999999999">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399999999999999">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399999999999999">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399999999999999">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399999999999999">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399999999999999">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399999999999999">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399999999999999">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399999999999999">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399999999999999">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399999999999999">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399999999999999">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399999999999999">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399999999999999">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399999999999999">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399999999999999">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399999999999999">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399999999999999">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399999999999999">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399999999999999">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399999999999999">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399999999999999">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399999999999999">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399999999999999">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399999999999999">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399999999999999">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399999999999999">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399999999999999">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399999999999999">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399999999999999">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399999999999999">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399999999999999">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399999999999999">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399999999999999">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399999999999999">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399999999999999">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399999999999999">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399999999999999">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399999999999999">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399999999999999">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399999999999999">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399999999999999">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399999999999999">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399999999999999">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399999999999999">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399999999999999">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399999999999999">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399999999999999">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399999999999999">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399999999999999">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399999999999999">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399999999999999">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399999999999999">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399999999999999">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399999999999999">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399999999999999">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399999999999999">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399999999999999">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399999999999999">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399999999999999">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399999999999999">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399999999999999">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399999999999999">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399999999999999">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399999999999999">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399999999999999">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399999999999999">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399999999999999">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399999999999999">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399999999999999">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399999999999999">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399999999999999">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399999999999999">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399999999999999">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399999999999999">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399999999999999">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399999999999999">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399999999999999">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399999999999999">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399999999999999">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399999999999999">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399999999999999">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399999999999999">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399999999999999">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399999999999999">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399999999999999">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399999999999999">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399999999999999">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399999999999999">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399999999999999">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399999999999999">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399999999999999">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399999999999999">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399999999999999">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399999999999999">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399999999999999">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399999999999999">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399999999999999">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399999999999999">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399999999999999">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399999999999999">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399999999999999">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399999999999999">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399999999999999">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399999999999999">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399999999999999">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399999999999999">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399999999999999">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399999999999999">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399999999999999">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399999999999999">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399999999999999">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399999999999999">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399999999999999">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399999999999999">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399999999999999">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399999999999999">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399999999999999">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399999999999999">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399999999999999">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399999999999999">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399999999999999">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399999999999999">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399999999999999">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399999999999999">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399999999999999">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399999999999999">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399999999999999">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399999999999999">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399999999999999">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399999999999999">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399999999999999">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399999999999999">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399999999999999">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399999999999999">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399999999999999">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399999999999999">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399999999999999">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399999999999999">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399999999999999">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399999999999999">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399999999999999">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399999999999999">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399999999999999">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399999999999999">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399999999999999">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399999999999999">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399999999999999">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399999999999999">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399999999999999">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399999999999999">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399999999999999">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399999999999999">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399999999999999">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399999999999999">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399999999999999">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399999999999999">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399999999999999">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399999999999999">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399999999999999">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399999999999999">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399999999999999">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399999999999999">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399999999999999">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399999999999999">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399999999999999">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399999999999999">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399999999999999">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399999999999999">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399999999999999">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399999999999999">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399999999999999">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399999999999999">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399999999999999">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399999999999999">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399999999999999">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399999999999999">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399999999999999">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399999999999999">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399999999999999">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399999999999999">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399999999999999">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399999999999999">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399999999999999">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399999999999999">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399999999999999">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399999999999999">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399999999999999">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399999999999999">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399999999999999">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399999999999999">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399999999999999">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399999999999999">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399999999999999">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399999999999999">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399999999999999">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399999999999999">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399999999999999">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399999999999999">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399999999999999">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399999999999999">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399999999999999">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399999999999999">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399999999999999">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399999999999999">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399999999999999">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399999999999999">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399999999999999">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399999999999999">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399999999999999">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399999999999999">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399999999999999">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399999999999999">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399999999999999">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399999999999999">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399999999999999">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399999999999999">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399999999999999">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399999999999999">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399999999999999">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399999999999999">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399999999999999">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399999999999999">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399999999999999">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399999999999999">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399999999999999">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399999999999999">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399999999999999">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399999999999999">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399999999999999">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399999999999999">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399999999999999">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399999999999999">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399999999999999">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399999999999999">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399999999999999">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399999999999999">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399999999999999">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399999999999999">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399999999999999">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399999999999999">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399999999999999">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399999999999999">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399999999999999">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399999999999999">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399999999999999">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399999999999999">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399999999999999">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399999999999999">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399999999999999">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399999999999999">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399999999999999">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399999999999999">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399999999999999">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399999999999999">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399999999999999">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399999999999999">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399999999999999">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399999999999999">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399999999999999">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399999999999999">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399999999999999">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399999999999999">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399999999999999">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399999999999999">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399999999999999">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399999999999999">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399999999999999">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399999999999999">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399999999999999">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399999999999999">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399999999999999">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399999999999999">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399999999999999">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399999999999999">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399999999999999">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399999999999999">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399999999999999">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399999999999999">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399999999999999">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399999999999999">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399999999999999">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399999999999999">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399999999999999">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399999999999999">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399999999999999">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399999999999999">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399999999999999">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399999999999999">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399999999999999">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399999999999999">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399999999999999">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399999999999999">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399999999999999">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399999999999999">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399999999999999">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399999999999999">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399999999999999">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399999999999999">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399999999999999">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399999999999999">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399999999999999">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399999999999999">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399999999999999">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399999999999999">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399999999999999">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399999999999999">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399999999999999">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399999999999999">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399999999999999">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399999999999999">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399999999999999">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399999999999999">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399999999999999">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399999999999999">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399999999999999">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399999999999999">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399999999999999">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399999999999999">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399999999999999">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399999999999999">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399999999999999">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399999999999999">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399999999999999">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399999999999999">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399999999999999">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399999999999999">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399999999999999">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399999999999999">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399999999999999">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399999999999999">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399999999999999">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399999999999999">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399999999999999">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399999999999999">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399999999999999">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399999999999999">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399999999999999">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399999999999999">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399999999999999">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399999999999999">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399999999999999">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399999999999999">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399999999999999">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399999999999999">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399999999999999">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399999999999999">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399999999999999">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399999999999999">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399999999999999">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399999999999999">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399999999999999">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399999999999999">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399999999999999">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399999999999999">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399999999999999">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399999999999999">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399999999999999">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399999999999999">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399999999999999">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399999999999999">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399999999999999">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399999999999999">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399999999999999">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399999999999999">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399999999999999">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399999999999999">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399999999999999">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399999999999999">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399999999999999">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399999999999999">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399999999999999">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399999999999999">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399999999999999">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399999999999999">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399999999999999">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399999999999999">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399999999999999">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399999999999999">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399999999999999">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399999999999999">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399999999999999">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399999999999999">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399999999999999">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399999999999999">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399999999999999">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399999999999999">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399999999999999">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399999999999999">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399999999999999">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399999999999999">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399999999999999">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399999999999999">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399999999999999">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399999999999999">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399999999999999">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399999999999999">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399999999999999">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399999999999999">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399999999999999">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399999999999999">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399999999999999">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399999999999999">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399999999999999">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399999999999999">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399999999999999">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399999999999999">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399999999999999">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399999999999999">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399999999999999">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399999999999999">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399999999999999">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399999999999999">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399999999999999">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399999999999999">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399999999999999">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399999999999999">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399999999999999">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399999999999999">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399999999999999">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399999999999999">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399999999999999">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399999999999999">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399999999999999">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399999999999999">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399999999999999">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399999999999999">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399999999999999">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399999999999999">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399999999999999">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399999999999999">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399999999999999">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399999999999999">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399999999999999">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399999999999999">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399999999999999">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399999999999999">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399999999999999">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399999999999999">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399999999999999">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399999999999999">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399999999999999">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399999999999999">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399999999999999">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399999999999999">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399999999999999">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399999999999999">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399999999999999">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399999999999999">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399999999999999">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399999999999999">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399999999999999">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399999999999999">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399999999999999">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399999999999999">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399999999999999">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399999999999999">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399999999999999">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399999999999999">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399999999999999">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399999999999999">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399999999999999">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399999999999999">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399999999999999">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399999999999999">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399999999999999">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399999999999999">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399999999999999">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399999999999999">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399999999999999">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399999999999999">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399999999999999">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399999999999999">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399999999999999">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399999999999999">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399999999999999">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399999999999999">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399999999999999">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399999999999999">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399999999999999">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399999999999999">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399999999999999">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399999999999999">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399999999999999">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399999999999999">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399999999999999">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399999999999999">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399999999999999">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399999999999999">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399999999999999">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399999999999999">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399999999999999">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399999999999999">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399999999999999">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399999999999999">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399999999999999">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399999999999999">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399999999999999">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399999999999999">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399999999999999">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399999999999999">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399999999999999">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399999999999999">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399999999999999">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399999999999999">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399999999999999">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399999999999999">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399999999999999">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399999999999999">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399999999999999">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399999999999999">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399999999999999">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399999999999999">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399999999999999">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399999999999999">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399999999999999">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399999999999999">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399999999999999">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399999999999999">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399999999999999">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399999999999999">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399999999999999">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399999999999999">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399999999999999">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399999999999999">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399999999999999">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399999999999999">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399999999999999">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399999999999999">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399999999999999">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399999999999999">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399999999999999">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399999999999999">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399999999999999">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399999999999999">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399999999999999">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399999999999999">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399999999999999">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399999999999999">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399999999999999">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399999999999999">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399999999999999">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399999999999999">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399999999999999">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399999999999999">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399999999999999">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399999999999999">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399999999999999">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399999999999999">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399999999999999">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399999999999999">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399999999999999">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399999999999999">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399999999999999">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399999999999999">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399999999999999">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399999999999999">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399999999999999">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399999999999999">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399999999999999">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399999999999999">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399999999999999">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399999999999999">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399999999999999">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399999999999999">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399999999999999">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399999999999999">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399999999999999">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399999999999999">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399999999999999">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399999999999999">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399999999999999">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399999999999999">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399999999999999">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399999999999999">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399999999999999">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399999999999999">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399999999999999">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399999999999999">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399999999999999">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399999999999999">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399999999999999">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399999999999999">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399999999999999">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399999999999999">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399999999999999">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399999999999999">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399999999999999">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399999999999999">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399999999999999">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399999999999999">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399999999999999">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399999999999999">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399999999999999">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399999999999999">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399999999999999">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399999999999999">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399999999999999">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399999999999999">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399999999999999">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399999999999999">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399999999999999">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399999999999999">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399999999999999">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399999999999999">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399999999999999">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399999999999999">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399999999999999">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399999999999999">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399999999999999">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399999999999999">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399999999999999">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399999999999999">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399999999999999">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399999999999999">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399999999999999">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399999999999999">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399999999999999">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399999999999999">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399999999999999">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399999999999999">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399999999999999">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399999999999999">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399999999999999">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399999999999999">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399999999999999">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399999999999999">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399999999999999">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399999999999999">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399999999999999">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399999999999999">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399999999999999">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399999999999999">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399999999999999">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399999999999999">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399999999999999">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399999999999999">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399999999999999">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399999999999999">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399999999999999">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399999999999999">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399999999999999">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399999999999999">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399999999999999">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399999999999999">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399999999999999">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399999999999999">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399999999999999">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399999999999999">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399999999999999">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399999999999999">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399999999999999">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399999999999999">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399999999999999">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399999999999999">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399999999999999">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399999999999999">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399999999999999">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399999999999999">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399999999999999">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399999999999999">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399999999999999">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399999999999999">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399999999999999">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399999999999999">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399999999999999">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399999999999999">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399999999999999">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399999999999999">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399999999999999">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399999999999999">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399999999999999">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399999999999999">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399999999999999">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399999999999999">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399999999999999">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399999999999999">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399999999999999">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399999999999999">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399999999999999">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399999999999999">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399999999999999">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399999999999999">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399999999999999">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399999999999999">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399999999999999">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399999999999999">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399999999999999">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399999999999999">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399999999999999">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399999999999999">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399999999999999">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399999999999999">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399999999999999">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399999999999999">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399999999999999">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399999999999999">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399999999999999">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399999999999999">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399999999999999">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399999999999999">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399999999999999">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399999999999999">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399999999999999">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399999999999999">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399999999999999">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399999999999999">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399999999999999">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399999999999999">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399999999999999">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399999999999999">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399999999999999">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399999999999999">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399999999999999">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399999999999999">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399999999999999">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399999999999999">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399999999999999">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399999999999999">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399999999999999">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399999999999999">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399999999999999">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399999999999999">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399999999999999">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399999999999999">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399999999999999">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399999999999999">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399999999999999">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399999999999999">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399999999999999">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399999999999999">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399999999999999">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399999999999999">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399999999999999">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399999999999999">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399999999999999">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399999999999999">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399999999999999">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399999999999999">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399999999999999">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399999999999999">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399999999999999">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399999999999999">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399999999999999">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399999999999999">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399999999999999">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399999999999999">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399999999999999">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399999999999999">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399999999999999">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399999999999999">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399999999999999">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399999999999999">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399999999999999">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399999999999999">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399999999999999">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399999999999999">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399999999999999">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399999999999999">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399999999999999">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399999999999999">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399999999999999">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399999999999999">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399999999999999">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399999999999999">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399999999999999">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399999999999999">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399999999999999">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399999999999999">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399999999999999">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399999999999999">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399999999999999">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399999999999999">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399999999999999">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399999999999999">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399999999999999">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399999999999999">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399999999999999">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399999999999999">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399999999999999">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399999999999999">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399999999999999">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399999999999999">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399999999999999">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399999999999999">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399999999999999">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399999999999999">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399999999999999">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399999999999999">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399999999999999">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399999999999999">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399999999999999">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399999999999999">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399999999999999">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399999999999999">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399999999999999">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399999999999999">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399999999999999">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399999999999999">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399999999999999">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399999999999999">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399999999999999">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399999999999999">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399999999999999">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399999999999999">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399999999999999">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399999999999999">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399999999999999">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399999999999999">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399999999999999">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399999999999999">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399999999999999">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399999999999999">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399999999999999">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399999999999999">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399999999999999">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399999999999999">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399999999999999">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399999999999999">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399999999999999">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399999999999999">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399999999999999">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399999999999999">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399999999999999">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399999999999999">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399999999999999">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399999999999999">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399999999999999">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399999999999999">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399999999999999">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399999999999999">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399999999999999">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399999999999999">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399999999999999">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399999999999999">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399999999999999">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399999999999999">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399999999999999">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399999999999999">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399999999999999">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399999999999999">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399999999999999">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399999999999999">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399999999999999">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399999999999999">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399999999999999">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399999999999999">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399999999999999">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399999999999999">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399999999999999">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399999999999999">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399999999999999">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399999999999999">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399999999999999">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399999999999999">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399999999999999">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399999999999999">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399999999999999">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399999999999999">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399999999999999">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399999999999999">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399999999999999">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399999999999999">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399999999999999">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399999999999999">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399999999999999">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399999999999999">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399999999999999">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399999999999999">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399999999999999">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399999999999999">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399999999999999">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399999999999999">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399999999999999">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399999999999999">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399999999999999">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399999999999999">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399999999999999">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399999999999999">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399999999999999">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399999999999999">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399999999999999">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399999999999999">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399999999999999">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399999999999999">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399999999999999">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399999999999999">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399999999999999">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399999999999999">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399999999999999">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399999999999999">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399999999999999">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399999999999999">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399999999999999">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399999999999999">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399999999999999">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399999999999999">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399999999999999">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399999999999999">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399999999999999">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399999999999999">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399999999999999">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399999999999999">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399999999999999">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399999999999999">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399999999999999">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399999999999999">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399999999999999">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399999999999999">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399999999999999">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399999999999999">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399999999999999">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399999999999999">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399999999999999">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399999999999999">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399999999999999">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399999999999999">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399999999999999">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399999999999999">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399999999999999">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399999999999999">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399999999999999">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399999999999999">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399999999999999">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399999999999999">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399999999999999">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399999999999999">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399999999999999">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399999999999999">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399999999999999">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399999999999999">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399999999999999">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399999999999999">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399999999999999">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399999999999999">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399999999999999">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399999999999999">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399999999999999">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399999999999999">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399999999999999">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399999999999999">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399999999999999">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399999999999999">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399999999999999">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399999999999999">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399999999999999">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399999999999999">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399999999999999">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399999999999999">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399999999999999">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399999999999999">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399999999999999">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399999999999999">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399999999999999">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399999999999999">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399999999999999">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399999999999999">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399999999999999">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399999999999999">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399999999999999">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399999999999999">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399999999999999">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399999999999999">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399999999999999">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399999999999999">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399999999999999">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399999999999999">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399999999999999">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399999999999999">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399999999999999">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399999999999999">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399999999999999">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399999999999999">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399999999999999">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399999999999999">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399999999999999">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399999999999999">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399999999999999">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399999999999999">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399999999999999">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399999999999999">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399999999999999">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399999999999999">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399999999999999">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399999999999999">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399999999999999">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399999999999999">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399999999999999">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399999999999999">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399999999999999">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399999999999999">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399999999999999">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399999999999999">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399999999999999">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399999999999999">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399999999999999">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399999999999999">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399999999999999">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399999999999999">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399999999999999">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399999999999999">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399999999999999">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399999999999999">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399999999999999">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399999999999999">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399999999999999">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399999999999999">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399999999999999">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399999999999999">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399999999999999">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399999999999999">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399999999999999">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399999999999999">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399999999999999">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399999999999999">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399999999999999">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399999999999999">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399999999999999">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399999999999999">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399999999999999">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399999999999999">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399999999999999">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399999999999999">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399999999999999">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399999999999999">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399999999999999">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399999999999999">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399999999999999">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399999999999999">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399999999999999">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399999999999999">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399999999999999">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399999999999999">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399999999999999">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399999999999999">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399999999999999">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399999999999999">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399999999999999">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399999999999999">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399999999999999">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2"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28" sqref="A28"/>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6.2">
      <c r="A2" s="59" t="s">
        <v>53</v>
      </c>
      <c r="B2" s="60" t="str">
        <f>IF(F61=1,"Click here to return to Smelter List","")</f>
        <v>Click here to return to Smelter List</v>
      </c>
      <c r="C2" s="112" t="str">
        <f>IF(F60=1,"Click here to return to Product List","")</f>
        <v/>
      </c>
      <c r="D2" s="135">
        <f>IF(H66=0,"0",H66)</f>
        <v>31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f>Declaration!D8</f>
        <v>0</v>
      </c>
      <c r="C4" s="138" t="str">
        <f t="shared" ref="C4:C9" ca="1" si="0">IF(H4=1,J4,I4)</f>
        <v>Provide your company name on the Declaration tab cell D8</v>
      </c>
      <c r="D4" s="221" t="str">
        <f>IF(H4=1,"Click here to enter Company Name","")</f>
        <v>Click here to enter Company Name</v>
      </c>
      <c r="E4" s="17" t="s">
        <v>17</v>
      </c>
      <c r="F4" s="84">
        <v>1</v>
      </c>
      <c r="G4" s="63">
        <f t="shared" ref="G4:G9" si="1">IF(B4=0,1,0)</f>
        <v>1</v>
      </c>
      <c r="H4" s="64">
        <f>F4*G4</f>
        <v>1</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f>Declaration!D9</f>
        <v>0</v>
      </c>
      <c r="C5" s="138" t="str">
        <f t="shared" ca="1" si="0"/>
        <v>Select the scope of declaration on the Declaration tab cell D9</v>
      </c>
      <c r="D5" s="86" t="str">
        <f>IF(H5=1,"Click here to enter Declaration Scope","")</f>
        <v>Click here to enter Declaration Scope</v>
      </c>
      <c r="E5" s="17" t="s">
        <v>17</v>
      </c>
      <c r="F5" s="84">
        <v>1</v>
      </c>
      <c r="G5" s="63">
        <f t="shared" si="1"/>
        <v>1</v>
      </c>
      <c r="H5" s="64">
        <f t="shared" ref="H5:H18" si="2">F5*G5</f>
        <v>1</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f>Declaration!D15</f>
        <v>0</v>
      </c>
      <c r="C7" s="138" t="str">
        <f t="shared" ca="1" si="0"/>
        <v>Provide contact name in Declaration tab cell D15</v>
      </c>
      <c r="D7" s="86" t="str">
        <f>IF(H7=1,"Click here to enter Contact Name","")</f>
        <v>Click here to enter Contact Name</v>
      </c>
      <c r="E7" s="17" t="s">
        <v>17</v>
      </c>
      <c r="F7" s="84">
        <v>1</v>
      </c>
      <c r="G7" s="63">
        <f t="shared" si="1"/>
        <v>1</v>
      </c>
      <c r="H7" s="64">
        <f t="shared" si="2"/>
        <v>1</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f>Declaration!D16</f>
        <v>0</v>
      </c>
      <c r="C8" s="138" t="str">
        <f t="shared" ca="1" si="0"/>
        <v>Provide a valid email for contact in Declaration tab cell D16</v>
      </c>
      <c r="D8" s="86" t="str">
        <f>IF(H8=1,"Click here to enter Email-Contact","")</f>
        <v>Click here to enter Email-Contact</v>
      </c>
      <c r="E8" s="17" t="s">
        <v>17</v>
      </c>
      <c r="F8" s="84">
        <v>1</v>
      </c>
      <c r="G8" s="63">
        <f>IF(ISNUMBER(SEARCH("@",B8)),0,1)</f>
        <v>1</v>
      </c>
      <c r="H8" s="64">
        <f t="shared" si="2"/>
        <v>1</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f>Declaration!D17</f>
        <v>0</v>
      </c>
      <c r="C9" s="138" t="str">
        <f t="shared" ca="1" si="0"/>
        <v>Provide a phone number for contact in Declaration tab cell D17</v>
      </c>
      <c r="D9" s="86" t="str">
        <f>IF(H9=1,"Click here to enter Phone-Contact","")</f>
        <v>Click here to enter Phone-Contact</v>
      </c>
      <c r="E9" s="17" t="s">
        <v>17</v>
      </c>
      <c r="F9" s="84">
        <v>1</v>
      </c>
      <c r="G9" s="63">
        <f t="shared" si="1"/>
        <v>1</v>
      </c>
      <c r="H9" s="64">
        <f t="shared" si="2"/>
        <v>1</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f>Declaration!D18</f>
        <v>0</v>
      </c>
      <c r="C10" s="138" t="str">
        <f t="shared" ref="C10:C59" ca="1" si="3">IF(H10=1,J10,I10)</f>
        <v>Provide authorized company representative contact name in Declaration tab cell D18</v>
      </c>
      <c r="D10" s="86" t="str">
        <f>IF(H10=1,"Click here to enter an Authorized Company Representative's name","")</f>
        <v>Click here to enter an Authorized Company Representative's name</v>
      </c>
      <c r="E10" s="17" t="s">
        <v>17</v>
      </c>
      <c r="F10" s="84">
        <v>1</v>
      </c>
      <c r="G10" s="63">
        <f t="shared" ref="G10:G18" si="4">IF(B10=0,1,0)</f>
        <v>1</v>
      </c>
      <c r="H10" s="64">
        <f t="shared" si="2"/>
        <v>1</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17</v>
      </c>
      <c r="F11" s="84">
        <v>1</v>
      </c>
      <c r="G11" s="63">
        <f>IF(ISNUMBER(SEARCH("@",B11)),0,1)</f>
        <v>1</v>
      </c>
      <c r="H11" s="64">
        <f t="shared" si="2"/>
        <v>1</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17</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17</v>
      </c>
      <c r="F13" s="84">
        <v>1</v>
      </c>
      <c r="G13" s="63">
        <f t="shared" si="4"/>
        <v>1</v>
      </c>
      <c r="H13" s="64">
        <f t="shared" si="2"/>
        <v>1</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18</v>
      </c>
      <c r="F14" s="84"/>
      <c r="H14" s="16">
        <f t="shared" si="2"/>
        <v>0</v>
      </c>
    </row>
    <row r="15" spans="1:10" ht="26.4">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21</v>
      </c>
      <c r="F15" s="84">
        <v>1</v>
      </c>
      <c r="G15" s="63">
        <f t="shared" si="4"/>
        <v>1</v>
      </c>
      <c r="H15" s="64">
        <f t="shared" si="2"/>
        <v>1</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17</v>
      </c>
      <c r="F16" s="84">
        <v>1</v>
      </c>
      <c r="G16" s="63">
        <f t="shared" si="4"/>
        <v>1</v>
      </c>
      <c r="H16" s="64">
        <f t="shared" si="2"/>
        <v>1</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17</v>
      </c>
      <c r="F20" s="85">
        <f>IF(OR(B$15="No",B$15="Unknown",B$15="Not applicable for this declaration"),0,1)</f>
        <v>1</v>
      </c>
      <c r="G20" s="63">
        <f>IF(B20=0,1,0)</f>
        <v>1</v>
      </c>
      <c r="H20" s="64">
        <f>F20*G20</f>
        <v>1</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Declare if mica is necessary to the production of your products and contained within the finished products declared in Declaration tab cell D33</v>
      </c>
      <c r="D21" s="254" t="str">
        <f>IF(H21=1,"Click here to answer question 2 for Mica","")</f>
        <v>Click here to answer question 2 for Mica</v>
      </c>
      <c r="E21" s="17" t="s">
        <v>17</v>
      </c>
      <c r="F21" s="85">
        <f>IF(OR(B$16="No",B$16="Unknown",B$16="Not applicable for this declaration"),0,1)</f>
        <v>1</v>
      </c>
      <c r="G21" s="63">
        <f t="shared" ref="G21" si="6">IF(B21=0,1,0)</f>
        <v>1</v>
      </c>
      <c r="H21" s="64">
        <f t="shared" ref="H21" si="7">F21*G21</f>
        <v>1</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Declare if cobalt used within the scope of products declared within this survey response originated from a conflict-affected and high-risk area on the Declaration tab cell D38</v>
      </c>
      <c r="D23" s="210" t="str">
        <f>IF(H23=1,"Click here to answer question 3 for Cobalt","")</f>
        <v>Click here to answer question 3 for Cobalt</v>
      </c>
      <c r="E23" s="17" t="s">
        <v>17</v>
      </c>
      <c r="F23" s="85">
        <f>IF(OR(B$15="No",B$15="Unknown",B$15="Not applicable for this declaration",B$20="No",B$20="Unknown",B$20="Not applicable for this declaration"),0,1)</f>
        <v>1</v>
      </c>
      <c r="G23" s="63">
        <f t="shared" ref="G23:G59" si="8">IF(B23=0,1,0)</f>
        <v>1</v>
      </c>
      <c r="H23" s="64">
        <f t="shared" ref="H23:H59" si="9">F23*G23</f>
        <v>1</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Declare if mica used within the scope of products declared within this survey response originated from a conflict-affected and high-risk area on the Declaration tab cell D39</v>
      </c>
      <c r="D24" s="254" t="str">
        <f>IF(H24=1,"Click here to answer question 3 for Mica","")</f>
        <v>Click here to answer question 3 for Mica</v>
      </c>
      <c r="E24" s="17" t="s">
        <v>17</v>
      </c>
      <c r="F24" s="85">
        <f>IF(OR(B$16="No",B$16="Unknown",B$16="Not applicable for this declaration",B$21="No",B$21="Unknown",B$21="Not applicable for this declaration"),0,1)</f>
        <v>1</v>
      </c>
      <c r="G24" s="63">
        <f t="shared" si="8"/>
        <v>1</v>
      </c>
      <c r="H24" s="64">
        <f t="shared" si="9"/>
        <v>1</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f>Declaration!D44</f>
        <v>0</v>
      </c>
      <c r="C28" s="138" t="str">
        <f ca="1">IF(H28=1,J28,I28)</f>
        <v>Declare if cobalt used within the scope of products declared within this survey response originated entirely from a recycled or scrap source on the Declaration tab cell D44</v>
      </c>
      <c r="D28" s="210" t="str">
        <f>IF(H28=1,"Click here to answer question 4 for Cobalt","")</f>
        <v>Click here to answer question 4 for Cobalt</v>
      </c>
      <c r="E28" s="17" t="s">
        <v>17</v>
      </c>
      <c r="F28" s="85">
        <f>F23</f>
        <v>1</v>
      </c>
      <c r="G28" s="63">
        <f>IF(B28=0,1,0)</f>
        <v>1</v>
      </c>
      <c r="H28" s="64">
        <f>F28*G28</f>
        <v>1</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17</v>
      </c>
      <c r="F32" s="84"/>
    </row>
    <row r="33" spans="1:10" ht="26.4">
      <c r="A33" s="81" t="str">
        <f ca="1">Declaration!B50</f>
        <v>Cobalt(*)</v>
      </c>
      <c r="B33" s="80">
        <f>Declaration!D50</f>
        <v>0</v>
      </c>
      <c r="C33" s="138" t="str">
        <f t="shared" ca="1" si="3"/>
        <v>Provide % of completeness of supplier's smelter information on Declaration tab cell D50</v>
      </c>
      <c r="D33" s="254" t="str">
        <f>IF(H33=1,"Click here to answer question 5 for Cobalt","")</f>
        <v>Click here to answer question 5 for Cobalt</v>
      </c>
      <c r="E33" s="17" t="s">
        <v>21</v>
      </c>
      <c r="F33" s="85">
        <f>F23</f>
        <v>1</v>
      </c>
      <c r="G33" s="63">
        <f t="shared" si="8"/>
        <v>1</v>
      </c>
      <c r="H33" s="64">
        <f t="shared" si="9"/>
        <v>1</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Provide % of completeness of supplier's smelter information on Declaration tab cell D51</v>
      </c>
      <c r="D34" s="86" t="str">
        <f>IF(H34=1,"Click here to answer question 5 for Mica","")</f>
        <v>Click here to answer question 5 for Mica</v>
      </c>
      <c r="E34" s="17" t="s">
        <v>21</v>
      </c>
      <c r="F34" s="85">
        <f>F24</f>
        <v>1</v>
      </c>
      <c r="G34" s="63">
        <f t="shared" si="8"/>
        <v>1</v>
      </c>
      <c r="H34" s="64">
        <f t="shared" si="9"/>
        <v>1</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15</v>
      </c>
      <c r="F37" s="84"/>
    </row>
    <row r="38" spans="1:10" ht="51.6">
      <c r="A38" s="81" t="str">
        <f ca="1">Declaration!B56</f>
        <v>Cobalt(*)</v>
      </c>
      <c r="B38" s="80">
        <f>Declaration!D56</f>
        <v>0</v>
      </c>
      <c r="C38" s="138" t="str">
        <f t="shared" ca="1" si="3"/>
        <v>Declare if all smelter names have been provided in this survey response under the scope of products declared on the Declaration tab cell D56</v>
      </c>
      <c r="D38" s="254" t="str">
        <f>IF(H38=1,"Click here to answer question 6 for Cobalt","")</f>
        <v>Click here to answer question 6 for Cobalt</v>
      </c>
      <c r="E38" s="17" t="s">
        <v>15</v>
      </c>
      <c r="F38" s="85">
        <f>F23</f>
        <v>1</v>
      </c>
      <c r="G38" s="63">
        <f t="shared" si="8"/>
        <v>1</v>
      </c>
      <c r="H38" s="64">
        <f t="shared" si="9"/>
        <v>1</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15</v>
      </c>
      <c r="F39" s="85">
        <f>F24</f>
        <v>1</v>
      </c>
      <c r="G39" s="63">
        <f t="shared" si="8"/>
        <v>1</v>
      </c>
      <c r="H39" s="64">
        <f t="shared" si="9"/>
        <v>1</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Declare if all applicable cobalt smelter information has been provided on Declaration tab cell D62</v>
      </c>
      <c r="D43" s="88" t="str">
        <f>IF(H43=1,"Click here to answer question 7 for Cobalt","")</f>
        <v>Click here to answer question 7 for Cobalt</v>
      </c>
      <c r="E43" s="17" t="s">
        <v>17</v>
      </c>
      <c r="F43" s="85">
        <f>F23</f>
        <v>1</v>
      </c>
      <c r="G43" s="63">
        <f t="shared" si="8"/>
        <v>1</v>
      </c>
      <c r="H43" s="64">
        <f t="shared" si="9"/>
        <v>1</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Declare if all applicable mica processor information has been provided on Declaration tab cell D63</v>
      </c>
      <c r="D44" s="89" t="str">
        <f>IF(H44=1,"Click here to answer question 7 for Mica","")</f>
        <v>Click here to answer question 7 for Mica</v>
      </c>
      <c r="E44" s="17" t="s">
        <v>17</v>
      </c>
      <c r="F44" s="85">
        <f>F24</f>
        <v>1</v>
      </c>
      <c r="G44" s="63">
        <f t="shared" si="8"/>
        <v>1</v>
      </c>
      <c r="H44" s="64">
        <f t="shared" si="9"/>
        <v>1</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21</v>
      </c>
      <c r="F47" s="84"/>
      <c r="G47" s="84"/>
      <c r="H47" s="84"/>
    </row>
    <row r="48" spans="1:10" ht="39">
      <c r="A48" s="80" t="str">
        <f ca="1">Declaration!B69</f>
        <v>A. Have you established a responsible minerals sourcing policy?(*)</v>
      </c>
      <c r="B48" s="80">
        <f>Declaration!D69</f>
        <v>0</v>
      </c>
      <c r="C48" s="138" t="str">
        <f t="shared" ca="1" si="3"/>
        <v>Answer if your company has a responsible minerals sourcing policy on the Declaration tab cell D69</v>
      </c>
      <c r="D48" s="252" t="str">
        <f>IF(H48=1,"Click here to answer question (A)","")</f>
        <v>Click here to answer question (A)</v>
      </c>
      <c r="E48" s="17" t="s">
        <v>17</v>
      </c>
      <c r="F48" s="85">
        <f>IF(SUM(F$23:F$24)=0,0,1)</f>
        <v>1</v>
      </c>
      <c r="G48" s="63">
        <f t="shared" si="8"/>
        <v>1</v>
      </c>
      <c r="H48" s="64">
        <f t="shared" si="9"/>
        <v>1</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f>Declaration!D71</f>
        <v>0</v>
      </c>
      <c r="C50" s="138" t="str">
        <f ca="1">IF(H50=1,J50,I50)</f>
        <v>Answer if your company has made your responsible minerals sourcing policy publically available on your website on the Declaration tab cell D71</v>
      </c>
      <c r="D50" s="210" t="str">
        <f>IF(H50=1,"Click here to answer question (B)","")</f>
        <v>Click here to answer question (B)</v>
      </c>
      <c r="E50" s="17" t="s">
        <v>17</v>
      </c>
      <c r="F50" s="85">
        <f t="shared" ref="F50:F59" si="10">F$48</f>
        <v>1</v>
      </c>
      <c r="G50" s="63">
        <f t="shared" si="8"/>
        <v>1</v>
      </c>
      <c r="H50" s="64">
        <f t="shared" si="9"/>
        <v>1</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50.4">
      <c r="A53" s="80" t="str">
        <f ca="1">Declaration!B74</f>
        <v>Cobalt(*)</v>
      </c>
      <c r="B53" s="80">
        <f>Declaration!D74</f>
        <v>0</v>
      </c>
      <c r="C53" s="138" t="str">
        <f t="shared" ca="1" si="3"/>
        <v>Answer if you require your direct suppliers to source cobalt from smelters whose due diligence practices have been validated by an independent third-party audit program, like the Responsible Minerals Assurance Process, on Declaration tab cell D74</v>
      </c>
      <c r="D53" s="210" t="str">
        <f>IF(H53=1,"Click here to answer question (C)","")</f>
        <v>Click here to answer question (C)</v>
      </c>
      <c r="E53" s="17"/>
      <c r="F53" s="85">
        <f>F23*F$48</f>
        <v>1</v>
      </c>
      <c r="G53" s="63">
        <f t="shared" si="8"/>
        <v>1</v>
      </c>
      <c r="H53" s="64">
        <f t="shared" si="9"/>
        <v>1</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
      <c r="A54" s="80" t="str">
        <f ca="1">Declaration!B75</f>
        <v>Mica(*)</v>
      </c>
      <c r="B54" s="80">
        <f>Declaration!D75</f>
        <v>0</v>
      </c>
      <c r="C54" s="138" t="str">
        <f t="shared" ca="1" si="3"/>
        <v>Answer if you require your direct suppliers to source mica from processors whose due diligence practices have been validated by an independent third-party audit program, like the Responsible Minerals Assurance Process, on Declaration tab cell D75</v>
      </c>
      <c r="D54" s="210" t="str">
        <f>IF(H54=1,"Click here to answer question (C)","")</f>
        <v>Click here to answer question (C)</v>
      </c>
      <c r="E54" s="17"/>
      <c r="F54" s="85">
        <f>F24*F$48</f>
        <v>1</v>
      </c>
      <c r="G54" s="63">
        <f t="shared" si="8"/>
        <v>1</v>
      </c>
      <c r="H54" s="64">
        <f t="shared" si="9"/>
        <v>1</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f>Declaration!D77</f>
        <v>0</v>
      </c>
      <c r="C55" s="138" t="str">
        <f ca="1">IF(H55=1,J55,I55)</f>
        <v>Answer if you have implemented due diligence measures for responsible sourcing on Declaration tab cell D77</v>
      </c>
      <c r="D55" s="210" t="str">
        <f>IF(H55=1,"Click here to answer question (D)","")</f>
        <v>Click here to answer question (D)</v>
      </c>
      <c r="E55" s="17" t="s">
        <v>17</v>
      </c>
      <c r="F55" s="85">
        <f t="shared" si="10"/>
        <v>1</v>
      </c>
      <c r="G55" s="63">
        <f t="shared" si="8"/>
        <v>1</v>
      </c>
      <c r="H55" s="64">
        <f t="shared" si="9"/>
        <v>1</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f>IF(Declaration!D79="No",Declaration!D79,IF(Declaration!D79="Yes, in conformance with IPC1755 (e.g. EMRT)",Declaration!D79,IF(Declaration!D79="Yes, Using Other Format (Describe)",Declaration!G79,0)))</f>
        <v>0</v>
      </c>
      <c r="C56" s="138" t="str">
        <f t="shared" ca="1" si="3"/>
        <v>Answer if you verify responses from your suppliers against your company's expectations on Declaration tab cell D79</v>
      </c>
      <c r="D56" s="210" t="str">
        <f>IF(H56=1,"Click here to answer question (E)","")</f>
        <v>Click here to answer question (E)</v>
      </c>
      <c r="E56" s="17" t="s">
        <v>17</v>
      </c>
      <c r="F56" s="85">
        <f t="shared" si="10"/>
        <v>1</v>
      </c>
      <c r="G56" s="63">
        <f>IF(B56=0,1,0)</f>
        <v>1</v>
      </c>
      <c r="H56" s="64">
        <f t="shared" si="9"/>
        <v>1</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f>Declaration!D81</f>
        <v>0</v>
      </c>
      <c r="C58" s="138" t="str">
        <f ca="1">IF(H58=1,J58,I58)</f>
        <v>If applicable, provide 1 or more Products or Item Numbers this declaration applies to. From Declaration tab select hyperlink in cell 11H  to enter Product List tab</v>
      </c>
      <c r="D58" s="210" t="str">
        <f>IF(H58=1,"Click here to answer question (F)","")</f>
        <v>Click here to answer question (F)</v>
      </c>
      <c r="E58" s="17" t="s">
        <v>17</v>
      </c>
      <c r="F58" s="85">
        <f t="shared" si="10"/>
        <v>1</v>
      </c>
      <c r="G58" s="63">
        <f>IF(B58=0,1,0)</f>
        <v>1</v>
      </c>
      <c r="H58" s="64">
        <f t="shared" si="9"/>
        <v>1</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f>Declaration!D83</f>
        <v>0</v>
      </c>
      <c r="C59" s="138" t="str">
        <f t="shared" ca="1" si="3"/>
        <v>Provide list of cobalt smelters contributing material to supply chain on Smelter List tab</v>
      </c>
      <c r="D59" s="210" t="str">
        <f>IF(H59=1,"Click here to answer question (G)","")</f>
        <v>Click here to answer question (G)</v>
      </c>
      <c r="E59" s="17" t="s">
        <v>17</v>
      </c>
      <c r="F59" s="85">
        <f t="shared" si="10"/>
        <v>1</v>
      </c>
      <c r="G59" s="63">
        <f t="shared" si="8"/>
        <v>1</v>
      </c>
      <c r="H59" s="64">
        <f t="shared" si="9"/>
        <v>1</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Please answer Question 1 on Declaration tab</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Please answer Question 1 on Declaration tab</v>
      </c>
      <c r="K61" s="136">
        <f>IF(H15&gt;0,1,0)</f>
        <v>1</v>
      </c>
      <c r="L61" s="16" t="e">
        <f ca="1">OFFSET(L!$C$1,MATCH("Checker"&amp;ADDRESS(ROW(),COLUMN(),4),L!$A:$A,0)-1,SL,,)</f>
        <v>#N/A</v>
      </c>
    </row>
    <row r="62" spans="1:12" ht="39">
      <c r="A62" s="137" t="s">
        <v>63</v>
      </c>
      <c r="B62" s="80"/>
      <c r="C62" s="138" t="str">
        <f ca="1">IF(H62=1,J62,I62)</f>
        <v>Please answer Question 1 on Declaration tab</v>
      </c>
      <c r="D62" s="239" t="str">
        <f>IF(H62=0,"","Click here to provide smelter information")</f>
        <v>Click here to provide smelter information</v>
      </c>
      <c r="E62" s="17" t="s">
        <v>17</v>
      </c>
      <c r="F62" s="85">
        <f>F24</f>
        <v>1</v>
      </c>
      <c r="G62" s="63">
        <f>IF(AND(COUNTIF(SmelterIdetifiedForMetal,"Mica")&gt;0,COUNTIF('Smelter List'!AB$5:AB$2499,"Mica?*")&gt;0),0,1)</f>
        <v>1</v>
      </c>
      <c r="H62" s="64">
        <f>F62*G62</f>
        <v>1</v>
      </c>
      <c r="I62" s="133" t="str">
        <f ca="1">OFFSET(L!$C$1,MATCH("Checker"&amp;"Comp",L!$A:$A,0)-1,SL,,)</f>
        <v>Complete</v>
      </c>
      <c r="J62" s="16" t="str">
        <f ca="1">OFFSET(L!$C$1,MATCH("Checker"&amp;ADDRESS(ROW(),COLUMN(),4),L!$A:$A,0)-1,SL,,)</f>
        <v>Please answer Question 1 on Declaration tab</v>
      </c>
      <c r="K62" s="136">
        <f>IF(H16&gt;0,1,0)</f>
        <v>1</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2">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31</v>
      </c>
    </row>
    <row r="69" spans="1:12" ht="13.2"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ht="13.2">
      <c r="A2" s="20"/>
      <c r="B2" s="110"/>
      <c r="C2" s="110"/>
      <c r="D2"/>
      <c r="E2" s="21"/>
    </row>
    <row r="3" spans="1:35" ht="13.2">
      <c r="A3" s="20"/>
      <c r="B3" s="110"/>
      <c r="C3" s="110"/>
      <c r="D3" s="110"/>
      <c r="E3" s="21"/>
    </row>
    <row r="4" spans="1:35" ht="15.75" customHeight="1">
      <c r="A4" s="20"/>
      <c r="B4" s="411" t="s">
        <v>53</v>
      </c>
      <c r="C4" s="411"/>
      <c r="D4" s="41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2"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68" bestFit="1" customWidth="1"/>
    <col min="2" max="2" width="42.90625" style="168" customWidth="1"/>
    <col min="3" max="3" width="40.08984375" style="168" customWidth="1"/>
    <col min="4" max="4" width="22.90625" style="168" customWidth="1"/>
    <col min="5" max="5" width="12.7265625" style="168" customWidth="1"/>
    <col min="6" max="6" width="12.7265625" style="169" customWidth="1"/>
    <col min="7" max="7" width="15.26953125" style="168" customWidth="1"/>
    <col min="8" max="8" width="23.90625" style="168" customWidth="1"/>
    <col min="9" max="9" width="28.08984375" style="168" customWidth="1"/>
    <col min="10" max="10" width="38.7265625" style="168" hidden="1" customWidth="1"/>
    <col min="11" max="11" width="24.08984375" style="168" hidden="1" customWidth="1"/>
    <col min="12" max="12" width="17.453125" style="168" customWidth="1"/>
    <col min="13" max="13" width="16.08984375" style="168" customWidth="1"/>
    <col min="14" max="16384" width="8.9062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93"/>
  <sheetViews>
    <sheetView topLeftCell="B1" zoomScale="70" zoomScaleNormal="70" workbookViewId="0">
      <selection activeCell="B2" sqref="B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67" customWidth="1"/>
    <col min="6" max="6" width="61.6328125" style="268" customWidth="1"/>
    <col min="7" max="7" width="61.6328125" style="128" customWidth="1"/>
    <col min="8" max="8" width="65.6328125" style="145" customWidth="1"/>
    <col min="9" max="11" width="40" style="128" customWidth="1"/>
    <col min="12" max="12" width="40" style="145" customWidth="1"/>
    <col min="13" max="13" width="40" style="200" customWidth="1"/>
    <col min="14" max="16384" width="8.72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6.6">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5.2">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6">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5.2">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5.2">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43.2">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41.4">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82.8">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96.6">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1.4">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82.8">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1.4">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1.4">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5.2">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193.2">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1.4">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4.2">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1.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4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8.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20.8">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24.2">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82.8">
      <c r="A32" s="128" t="str">
        <f t="shared" si="1"/>
        <v>InstructionsA33</v>
      </c>
      <c r="B32" s="128" t="s">
        <v>404</v>
      </c>
      <c r="C32" s="128" t="s">
        <v>727</v>
      </c>
      <c r="D32" s="273" t="s">
        <v>728</v>
      </c>
      <c r="E32" s="274" t="s">
        <v>729</v>
      </c>
      <c r="F32" s="275" t="s">
        <v>730</v>
      </c>
      <c r="G32" s="273" t="s">
        <v>731</v>
      </c>
      <c r="H32" s="323" t="s">
        <v>732</v>
      </c>
      <c r="L32" s="128"/>
      <c r="M32" s="128"/>
    </row>
    <row r="33" spans="1:13" ht="72">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289.8">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0.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20.8">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24.2">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07">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76">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6">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6.6">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2.8">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0.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82.8">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55.2">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58.4">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6.6">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10.4">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38">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82.8">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9">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9">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9">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96.6">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7">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20.8">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21.8">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5.2">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20.8">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5.2">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386.4">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193.2">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79.4">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386.4">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10.4">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5.2">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8">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6">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4">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6">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6">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6">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69">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65.6">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07">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193.2">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9.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65.6">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10.4">
      <c r="A99" s="128" t="str">
        <f t="shared" si="4"/>
        <v>DefinitionsC13</v>
      </c>
      <c r="B99" s="128" t="s">
        <v>1117</v>
      </c>
      <c r="C99" s="128" t="s">
        <v>1420</v>
      </c>
      <c r="D99" s="273" t="s">
        <v>1421</v>
      </c>
      <c r="E99" s="274" t="s">
        <v>1422</v>
      </c>
      <c r="F99" s="282" t="s">
        <v>1423</v>
      </c>
      <c r="G99" s="284" t="s">
        <v>1424</v>
      </c>
      <c r="H99" s="319" t="s">
        <v>1425</v>
      </c>
      <c r="K99" s="129"/>
      <c r="M99" s="128"/>
    </row>
    <row r="100" spans="1:13" ht="69">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93.2">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9">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10.4">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17.39999999999998">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31.2">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96.6">
      <c r="A106" s="128" t="str">
        <f t="shared" si="4"/>
        <v>DefinitionsC20</v>
      </c>
      <c r="B106" s="128" t="s">
        <v>1117</v>
      </c>
      <c r="C106" s="128" t="s">
        <v>1490</v>
      </c>
      <c r="D106" s="273" t="s">
        <v>1491</v>
      </c>
      <c r="E106" s="274" t="s">
        <v>1492</v>
      </c>
      <c r="F106" s="282" t="s">
        <v>1493</v>
      </c>
      <c r="G106" s="283" t="s">
        <v>1494</v>
      </c>
      <c r="H106" s="319" t="s">
        <v>1495</v>
      </c>
      <c r="L106" s="128"/>
      <c r="M106" s="128"/>
    </row>
    <row r="107" spans="1:13" ht="96.6">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6">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6">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6">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5.2">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7.6">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69">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1.4">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27.6">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1.4">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6">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6">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6">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6">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1.4">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69">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6">
      <c r="A135" s="128" t="str">
        <f>B135&amp;C135</f>
        <v>DeclarationB31</v>
      </c>
      <c r="B135" s="128" t="s">
        <v>1507</v>
      </c>
      <c r="C135" s="128" t="s">
        <v>1776</v>
      </c>
      <c r="D135" s="128" t="s">
        <v>1777</v>
      </c>
      <c r="E135" s="128" t="s">
        <v>1778</v>
      </c>
      <c r="F135" s="313" t="s">
        <v>1779</v>
      </c>
      <c r="G135" s="128" t="s">
        <v>1780</v>
      </c>
      <c r="H135" s="319" t="s">
        <v>1781</v>
      </c>
      <c r="L135" s="128"/>
      <c r="M135" s="128"/>
    </row>
    <row r="136" spans="1:13" ht="9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5.2">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9">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9">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2.8">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6">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8.8">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6.6">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82.8">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96.6">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0.4">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9">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9">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5.2">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17.399999999999999">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8.8">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8.8">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6">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6">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6">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6">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6">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6">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6">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6">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6">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6">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6">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6">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4">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6">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6">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1.4">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1.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1.4">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6">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6">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5.2">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6">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6">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6">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6">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1.4">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27.6">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41.4">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5.2">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1.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1.4">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1.4">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1.4">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1.4">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1.4">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2.8">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2.8">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2.8">
      <c r="A239" s="128" t="str">
        <f t="shared" si="9"/>
        <v>CheckerJ22</v>
      </c>
      <c r="B239" s="128" t="s">
        <v>2380</v>
      </c>
      <c r="C239" s="128" t="s">
        <v>2632</v>
      </c>
      <c r="G239"/>
      <c r="H239" s="319"/>
      <c r="I239" s="128" t="s">
        <v>2633</v>
      </c>
      <c r="J239" s="128" t="s">
        <v>2634</v>
      </c>
      <c r="K239" s="128" t="s">
        <v>2635</v>
      </c>
      <c r="L239" s="128" t="s">
        <v>2636</v>
      </c>
      <c r="M239" s="128" t="s">
        <v>2637</v>
      </c>
    </row>
    <row r="240" spans="1:13" ht="82.8">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1.4">
      <c r="A241" s="128" t="str">
        <f t="shared" si="9"/>
        <v>CheckerJ24</v>
      </c>
      <c r="B241" s="128" t="s">
        <v>2380</v>
      </c>
      <c r="C241" s="128" t="s">
        <v>2649</v>
      </c>
      <c r="D241" s="273" t="s">
        <v>2650</v>
      </c>
      <c r="E241" s="274" t="s">
        <v>2651</v>
      </c>
      <c r="F241" s="281" t="s">
        <v>2652</v>
      </c>
      <c r="G241" s="279" t="s">
        <v>2653</v>
      </c>
      <c r="H241" s="319" t="s">
        <v>2654</v>
      </c>
      <c r="L241" s="128"/>
      <c r="M241" s="128"/>
    </row>
    <row r="242" spans="1:13" ht="69">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9">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9">
      <c r="A244" s="128" t="str">
        <f t="shared" si="9"/>
        <v>CheckerJ27</v>
      </c>
      <c r="B244" s="128" t="s">
        <v>2380</v>
      </c>
      <c r="C244" s="128" t="s">
        <v>2677</v>
      </c>
      <c r="G244"/>
      <c r="H244" s="319"/>
      <c r="I244" s="128" t="s">
        <v>2678</v>
      </c>
      <c r="J244" s="128" t="s">
        <v>2679</v>
      </c>
      <c r="K244" s="128" t="s">
        <v>2680</v>
      </c>
      <c r="L244" s="128" t="s">
        <v>2681</v>
      </c>
      <c r="M244" s="128" t="s">
        <v>2682</v>
      </c>
    </row>
    <row r="245" spans="1:13" ht="69">
      <c r="A245" s="128" t="str">
        <f t="shared" si="9"/>
        <v>CheckerJ28</v>
      </c>
      <c r="B245" s="128" t="s">
        <v>2380</v>
      </c>
      <c r="C245" s="128" t="s">
        <v>2655</v>
      </c>
      <c r="G245"/>
      <c r="H245" s="319"/>
      <c r="I245" s="128" t="s">
        <v>2683</v>
      </c>
      <c r="J245" s="128" t="s">
        <v>2684</v>
      </c>
      <c r="K245" s="128" t="s">
        <v>2685</v>
      </c>
      <c r="L245" s="128" t="s">
        <v>2686</v>
      </c>
      <c r="M245" s="128" t="s">
        <v>2687</v>
      </c>
    </row>
    <row r="246" spans="1:13" ht="41.4">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41.4">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41.4">
      <c r="A248" s="128" t="str">
        <f t="shared" si="9"/>
        <v>CheckerJ32</v>
      </c>
      <c r="B248" s="128" t="s">
        <v>2380</v>
      </c>
      <c r="C248" s="128" t="s">
        <v>2710</v>
      </c>
      <c r="G248"/>
      <c r="H248" s="319"/>
      <c r="I248" s="128" t="s">
        <v>2711</v>
      </c>
      <c r="J248" s="128" t="s">
        <v>2712</v>
      </c>
      <c r="K248" s="128" t="s">
        <v>2713</v>
      </c>
      <c r="L248" s="128" t="s">
        <v>2714</v>
      </c>
      <c r="M248" s="128" t="s">
        <v>2715</v>
      </c>
    </row>
    <row r="249" spans="1:13" ht="41.4">
      <c r="A249" s="128" t="str">
        <f t="shared" si="9"/>
        <v>CheckerJ33</v>
      </c>
      <c r="B249" s="128" t="s">
        <v>2380</v>
      </c>
      <c r="C249" s="128" t="s">
        <v>2688</v>
      </c>
      <c r="G249"/>
      <c r="H249" s="319"/>
      <c r="I249" s="128" t="s">
        <v>2716</v>
      </c>
      <c r="J249" s="128" t="s">
        <v>2717</v>
      </c>
      <c r="K249" s="128" t="s">
        <v>2718</v>
      </c>
      <c r="L249" s="128" t="s">
        <v>2719</v>
      </c>
      <c r="M249" s="128" t="s">
        <v>2720</v>
      </c>
    </row>
    <row r="250" spans="1:13" ht="69">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9">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9">
      <c r="A252" s="128" t="str">
        <f t="shared" si="9"/>
        <v>CheckerJ37</v>
      </c>
      <c r="B252" s="128" t="s">
        <v>2380</v>
      </c>
      <c r="C252" s="128" t="s">
        <v>2743</v>
      </c>
      <c r="G252"/>
      <c r="H252" s="319"/>
      <c r="I252" s="128" t="s">
        <v>2744</v>
      </c>
      <c r="J252" s="128" t="s">
        <v>2745</v>
      </c>
      <c r="K252" s="128" t="s">
        <v>2746</v>
      </c>
      <c r="L252" s="128" t="s">
        <v>2747</v>
      </c>
      <c r="M252" s="128" t="s">
        <v>2748</v>
      </c>
    </row>
    <row r="253" spans="1:13" ht="69">
      <c r="A253" s="128" t="str">
        <f t="shared" si="9"/>
        <v>CheckerJ38</v>
      </c>
      <c r="B253" s="128" t="s">
        <v>2380</v>
      </c>
      <c r="C253" s="128" t="s">
        <v>2721</v>
      </c>
      <c r="G253"/>
      <c r="H253" s="319"/>
      <c r="I253" s="128" t="s">
        <v>2749</v>
      </c>
      <c r="J253" s="128" t="s">
        <v>2750</v>
      </c>
      <c r="K253" s="128" t="s">
        <v>2751</v>
      </c>
      <c r="L253" s="128" t="s">
        <v>2752</v>
      </c>
      <c r="M253" s="128" t="s">
        <v>2753</v>
      </c>
    </row>
    <row r="254" spans="1:13" ht="55.2">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5.2">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5.2">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9">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9">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2.8">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5.2">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5.2"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55.2"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1.4"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5.2">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1.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5.2">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5.2">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5.2" hidden="1">
      <c r="A272" s="128" t="str">
        <f t="shared" si="9"/>
        <v>CheckerJ58</v>
      </c>
      <c r="B272" s="128" t="s">
        <v>2380</v>
      </c>
      <c r="C272" s="128" t="s">
        <v>2906</v>
      </c>
      <c r="G272"/>
      <c r="H272" s="319"/>
      <c r="I272" s="128" t="s">
        <v>2928</v>
      </c>
      <c r="J272" s="128" t="s">
        <v>2929</v>
      </c>
      <c r="K272" s="128" t="s">
        <v>2930</v>
      </c>
      <c r="L272" s="128" t="s">
        <v>2931</v>
      </c>
      <c r="M272" s="128" t="s">
        <v>2932</v>
      </c>
    </row>
    <row r="273" spans="1:13" ht="55.2" hidden="1">
      <c r="A273" s="128" t="str">
        <f t="shared" si="9"/>
        <v>CheckerJ59</v>
      </c>
      <c r="B273" s="128" t="s">
        <v>2380</v>
      </c>
      <c r="C273" s="128" t="s">
        <v>2917</v>
      </c>
      <c r="G273"/>
      <c r="H273" s="319"/>
      <c r="I273" s="128" t="s">
        <v>2933</v>
      </c>
      <c r="J273" s="128" t="s">
        <v>2934</v>
      </c>
      <c r="K273" s="128" t="s">
        <v>2935</v>
      </c>
      <c r="L273" s="128" t="s">
        <v>2936</v>
      </c>
      <c r="M273" s="128" t="s">
        <v>2937</v>
      </c>
    </row>
    <row r="274" spans="1:13" ht="55.2">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6">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6">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6">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6">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1.4">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41.4">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6">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2.8">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6">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6">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9">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6">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6">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69">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부서명_이름</cp:lastModifiedBy>
  <cp:revision/>
  <dcterms:created xsi:type="dcterms:W3CDTF">2010-06-21T21:00:23Z</dcterms:created>
  <dcterms:modified xsi:type="dcterms:W3CDTF">2022-12-09T01:47:38Z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